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https://accipiter.sharepoint.com/sites/CFS2/Shared Documents/PRM/Risk/Airlines/Air Canada/Financial Data Book/"/>
    </mc:Choice>
  </mc:AlternateContent>
  <xr:revisionPtr revIDLastSave="188" documentId="8_{96389E64-BF97-48A3-8169-A9D0CA3ACAA8}" xr6:coauthVersionLast="47" xr6:coauthVersionMax="47" xr10:uidLastSave="{FEF21D08-D470-49F1-84DB-291C2D072653}"/>
  <bookViews>
    <workbookView xWindow="-108" yWindow="-108" windowWidth="22140" windowHeight="13176" tabRatio="890" firstSheet="13" activeTab="13" xr2:uid="{00000000-000D-0000-FFFF-FFFF00000000}"/>
  </bookViews>
  <sheets>
    <sheet name="Cover Sheet" sheetId="20" r:id="rId1"/>
    <sheet name="Inputs" sheetId="38" r:id="rId2"/>
    <sheet name="Operational Analysis &gt;&gt;" sheetId="15" r:id="rId3"/>
    <sheet name="Annual Operational Data" sheetId="6" r:id="rId4"/>
    <sheet name="Interim Operational Data" sheetId="39" r:id="rId5"/>
    <sheet name="Revenue Analysis Reported" sheetId="24" r:id="rId6"/>
    <sheet name="Revenue Analysis US$" sheetId="8" r:id="rId7"/>
    <sheet name="Interim Revenue Analysis" sheetId="34" r:id="rId8"/>
    <sheet name="Interim Revenue Analysis US$" sheetId="35" r:id="rId9"/>
    <sheet name="Cost Analysis Reported" sheetId="25" r:id="rId10"/>
    <sheet name="Cost Analysis US$" sheetId="26" r:id="rId11"/>
    <sheet name="Interim Cost Analysis Reported" sheetId="36" r:id="rId12"/>
    <sheet name="Interim Cost Analysis US$" sheetId="37" r:id="rId13"/>
    <sheet name="Credit Paper Workings" sheetId="17" r:id="rId14"/>
    <sheet name="Financial Statements &gt;&gt;" sheetId="16" r:id="rId15"/>
    <sheet name="Income Statement &gt;" sheetId="21" r:id="rId16"/>
    <sheet name="Annual Inc Statement Reported" sheetId="11" r:id="rId17"/>
    <sheet name="Annual Income Statement US$" sheetId="2" r:id="rId18"/>
    <sheet name="Interim Inc Statement Reported" sheetId="12" r:id="rId19"/>
    <sheet name="Interim Inc Statement US$" sheetId="13" r:id="rId20"/>
    <sheet name="Balance Sheet &gt; " sheetId="22" r:id="rId21"/>
    <sheet name="Balance Sheet Reported" sheetId="18" r:id="rId22"/>
    <sheet name="Balance Sheet US$" sheetId="4" r:id="rId23"/>
    <sheet name="Interim Balance Sheet Reported" sheetId="40" r:id="rId24"/>
    <sheet name="Interim Balance Sheet US$" sheetId="41" r:id="rId25"/>
    <sheet name="Cash Flow &gt;" sheetId="23" r:id="rId26"/>
    <sheet name="Annual Cash Flow Reported" sheetId="19" r:id="rId27"/>
    <sheet name="Annual Cash Flow US$" sheetId="27" r:id="rId28"/>
    <sheet name="Interim Cash Flow Reported" sheetId="30" r:id="rId29"/>
    <sheet name="Interim Cash Flow US$" sheetId="31" r:id="rId30"/>
  </sheets>
  <definedNames>
    <definedName name="_xlnm._FilterDatabase" localSheetId="13" hidden="1">'Credit Paper Workings'!$B$167:$I$175</definedName>
    <definedName name="_xlnm.Print_Area" localSheetId="26">'Annual Cash Flow Reported'!$A$1:$M$65</definedName>
    <definedName name="_xlnm.Print_Area" localSheetId="27">'Annual Cash Flow US$'!$A$1:$M$65</definedName>
    <definedName name="_xlnm.Print_Area" localSheetId="16">'Annual Inc Statement Reported'!$A$1:$M$107</definedName>
    <definedName name="_xlnm.Print_Area" localSheetId="17">'Annual Income Statement US$'!$A$1:$M$108</definedName>
    <definedName name="_xlnm.Print_Area" localSheetId="3">'Annual Operational Data'!$A$1:$N$73</definedName>
    <definedName name="_xlnm.Print_Area" localSheetId="20">'Balance Sheet &gt; '!$A$1:$L$37</definedName>
    <definedName name="_xlnm.Print_Area" localSheetId="21">'Balance Sheet Reported'!$A$1:$M$133</definedName>
    <definedName name="_xlnm.Print_Area" localSheetId="22">'Balance Sheet US$'!$A$1:$M$133</definedName>
    <definedName name="_xlnm.Print_Area" localSheetId="25">'Cash Flow &gt;'!$A$1:$L$37</definedName>
    <definedName name="_xlnm.Print_Area" localSheetId="9">'Cost Analysis Reported'!$A$1:$M$77</definedName>
    <definedName name="_xlnm.Print_Area" localSheetId="10">'Cost Analysis US$'!$A$1:$M$77</definedName>
    <definedName name="_xlnm.Print_Area" localSheetId="0">'Cover Sheet'!$A$1:$L$37</definedName>
    <definedName name="_xlnm.Print_Area" localSheetId="14">'Financial Statements &gt;&gt;'!$A$1:$L$37</definedName>
    <definedName name="_xlnm.Print_Area" localSheetId="15">'Income Statement &gt;'!$A$1:$L$37</definedName>
    <definedName name="_xlnm.Print_Area" localSheetId="23">'Interim Balance Sheet Reported'!$A$1:$AB$133</definedName>
    <definedName name="_xlnm.Print_Area" localSheetId="24">'Interim Balance Sheet US$'!$A$1:$AB$133</definedName>
    <definedName name="_xlnm.Print_Area" localSheetId="28">'Interim Cash Flow Reported'!$A$1:$AB$65</definedName>
    <definedName name="_xlnm.Print_Area" localSheetId="29">'Interim Cash Flow US$'!$A$1:$AB$64</definedName>
    <definedName name="_xlnm.Print_Area" localSheetId="11">'Interim Cost Analysis Reported'!$A$1:$Y$77</definedName>
    <definedName name="_xlnm.Print_Area" localSheetId="12">'Interim Cost Analysis US$'!$A$1:$Y$77</definedName>
    <definedName name="_xlnm.Print_Area" localSheetId="18">'Interim Inc Statement Reported'!$A$1:$AB$107</definedName>
    <definedName name="_xlnm.Print_Area" localSheetId="19">'Interim Inc Statement US$'!$A$1:$AC$107</definedName>
    <definedName name="_xlnm.Print_Area" localSheetId="4">'Interim Operational Data'!$A$1:$O$73</definedName>
    <definedName name="_xlnm.Print_Area" localSheetId="7">'Interim Revenue Analysis'!$A$1:$G$92</definedName>
    <definedName name="_xlnm.Print_Area" localSheetId="8">'Interim Revenue Analysis US$'!$A$1:$G$90</definedName>
    <definedName name="_xlnm.Print_Area" localSheetId="2">'Operational Analysis &gt;&gt;'!$A$1:$L$37</definedName>
    <definedName name="_xlnm.Print_Area" localSheetId="5">'Revenue Analysis Reported'!$A$1:$G$92</definedName>
    <definedName name="_xlnm.Print_Area" localSheetId="6">'Revenue Analysis US$'!$A$1:$G$91</definedName>
    <definedName name="_xlnm.Print_Titles" localSheetId="26">'Annual Cash Flow Reported'!$1:$7</definedName>
    <definedName name="_xlnm.Print_Titles" localSheetId="27">'Annual Cash Flow US$'!$1:$7</definedName>
    <definedName name="_xlnm.Print_Titles" localSheetId="16">'Annual Inc Statement Reported'!$1:$7</definedName>
    <definedName name="_xlnm.Print_Titles" localSheetId="17">'Annual Income Statement US$'!$1:$7</definedName>
    <definedName name="_xlnm.Print_Titles" localSheetId="3">'Annual Operational Data'!$A:$A,'Annual Operational Data'!$1:$7</definedName>
    <definedName name="_xlnm.Print_Titles" localSheetId="21">'Balance Sheet Reported'!$1:$7</definedName>
    <definedName name="_xlnm.Print_Titles" localSheetId="22">'Balance Sheet US$'!$1:$7</definedName>
    <definedName name="_xlnm.Print_Titles" localSheetId="9">'Cost Analysis Reported'!$1:$7</definedName>
    <definedName name="_xlnm.Print_Titles" localSheetId="10">'Cost Analysis US$'!$1:$7</definedName>
    <definedName name="_xlnm.Print_Titles" localSheetId="23">'Interim Balance Sheet Reported'!$1:$7</definedName>
    <definedName name="_xlnm.Print_Titles" localSheetId="24">'Interim Balance Sheet US$'!$1:$7</definedName>
    <definedName name="_xlnm.Print_Titles" localSheetId="28">'Interim Cash Flow Reported'!$1:$7</definedName>
    <definedName name="_xlnm.Print_Titles" localSheetId="29">'Interim Cash Flow US$'!$1:$7</definedName>
    <definedName name="_xlnm.Print_Titles" localSheetId="11">'Interim Cost Analysis Reported'!$1:$7</definedName>
    <definedName name="_xlnm.Print_Titles" localSheetId="12">'Interim Cost Analysis US$'!$1:$7</definedName>
    <definedName name="_xlnm.Print_Titles" localSheetId="18">'Interim Inc Statement Reported'!$1:$7</definedName>
    <definedName name="_xlnm.Print_Titles" localSheetId="19">'Interim Inc Statement US$'!$1:$7</definedName>
    <definedName name="_xlnm.Print_Titles" localSheetId="4">'Interim Operational Data'!$A:$A,'Interim Operational Data'!$1:$7</definedName>
    <definedName name="_xlnm.Print_Titles" localSheetId="7">'Interim Revenue Analysis'!$1:$7</definedName>
    <definedName name="_xlnm.Print_Titles" localSheetId="8">'Interim Revenue Analysis US$'!$1:$7</definedName>
    <definedName name="_xlnm.Print_Titles" localSheetId="5">'Revenue Analysis Reported'!$1:$7</definedName>
    <definedName name="_xlnm.Print_Titles" localSheetId="6">'Revenue Analysis US$'!$1:$7</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2" i="13" l="1"/>
  <c r="AC2" i="13"/>
  <c r="AB3" i="13"/>
  <c r="AC3" i="13"/>
  <c r="AB5" i="13"/>
  <c r="AC5" i="13"/>
  <c r="AB6" i="13"/>
  <c r="AC6" i="13"/>
  <c r="AB7" i="13"/>
  <c r="AB10" i="13" s="1"/>
  <c r="AC7" i="13"/>
  <c r="AC16" i="13" s="1"/>
  <c r="AC77" i="13" s="1"/>
  <c r="AC78" i="13" s="1"/>
  <c r="AB9" i="13"/>
  <c r="AB59" i="13" s="1"/>
  <c r="AB60" i="13" s="1"/>
  <c r="AC9" i="13"/>
  <c r="AC59" i="13" s="1"/>
  <c r="AC60" i="13" s="1"/>
  <c r="AB18" i="13"/>
  <c r="AC18" i="13"/>
  <c r="AB19" i="13"/>
  <c r="AB21" i="13"/>
  <c r="AC21" i="13"/>
  <c r="AC20" i="13" s="1"/>
  <c r="AC23" i="13"/>
  <c r="AB27" i="13"/>
  <c r="AB93" i="13" s="1"/>
  <c r="AB31" i="13"/>
  <c r="AB32" i="13"/>
  <c r="AC32" i="13"/>
  <c r="AB33" i="13"/>
  <c r="AC35" i="13"/>
  <c r="AB36" i="13"/>
  <c r="AC36" i="13"/>
  <c r="AB38" i="13"/>
  <c r="AB39" i="13"/>
  <c r="AB42" i="13"/>
  <c r="AC42" i="13"/>
  <c r="AB44" i="13"/>
  <c r="AB50" i="13"/>
  <c r="AC50" i="13"/>
  <c r="AC54" i="13" s="1"/>
  <c r="AB52" i="13"/>
  <c r="AB53" i="13" s="1"/>
  <c r="AC52" i="13"/>
  <c r="AC53" i="13"/>
  <c r="AB55" i="13"/>
  <c r="AC55" i="13"/>
  <c r="AB90" i="13"/>
  <c r="AB91" i="13"/>
  <c r="AB94" i="13"/>
  <c r="AA2" i="31"/>
  <c r="AB2" i="31"/>
  <c r="AB46" i="31" s="1"/>
  <c r="AA3" i="31"/>
  <c r="AB3" i="31"/>
  <c r="AA5" i="31"/>
  <c r="AB5" i="31"/>
  <c r="AA6" i="31"/>
  <c r="AB6" i="31"/>
  <c r="AA7" i="31"/>
  <c r="AA10" i="31" s="1"/>
  <c r="AB7" i="31"/>
  <c r="AB10" i="31" s="1"/>
  <c r="AB12" i="31" s="1"/>
  <c r="AA8" i="31"/>
  <c r="AA9" i="31"/>
  <c r="AB9" i="31"/>
  <c r="AA11" i="31"/>
  <c r="AB11" i="31"/>
  <c r="AA14" i="31"/>
  <c r="AA22" i="31" s="1"/>
  <c r="AA15" i="31"/>
  <c r="AB15" i="31"/>
  <c r="AA16" i="31"/>
  <c r="AA17" i="31"/>
  <c r="AB17" i="31"/>
  <c r="AA18" i="31"/>
  <c r="AB18" i="31"/>
  <c r="AA19" i="31"/>
  <c r="AB19" i="31"/>
  <c r="AA20" i="31"/>
  <c r="AA21" i="31"/>
  <c r="AB21" i="31"/>
  <c r="AA23" i="31"/>
  <c r="AB23" i="31"/>
  <c r="AA24" i="31"/>
  <c r="AB24" i="31"/>
  <c r="AA25" i="31"/>
  <c r="AB25" i="31"/>
  <c r="AA26" i="31"/>
  <c r="AA33" i="31" s="1"/>
  <c r="AB26" i="31"/>
  <c r="AA27" i="31"/>
  <c r="AB27" i="31"/>
  <c r="AB61" i="31" s="1"/>
  <c r="AB62" i="31" s="1"/>
  <c r="AA28" i="31"/>
  <c r="AB28" i="31"/>
  <c r="AA29" i="31"/>
  <c r="AB29" i="31"/>
  <c r="AA30" i="31"/>
  <c r="AB30" i="31"/>
  <c r="AB33" i="31" s="1"/>
  <c r="AA31" i="31"/>
  <c r="AB31" i="31"/>
  <c r="AA32" i="31"/>
  <c r="AB32" i="31"/>
  <c r="AA35" i="31"/>
  <c r="AB35" i="31"/>
  <c r="AA44" i="31"/>
  <c r="AB44" i="31"/>
  <c r="AA45" i="31"/>
  <c r="AB45" i="31"/>
  <c r="AA46" i="31"/>
  <c r="AA56" i="31"/>
  <c r="AA60" i="31"/>
  <c r="AA62" i="31" s="1"/>
  <c r="AB60" i="31"/>
  <c r="AA61" i="31"/>
  <c r="AA15" i="30"/>
  <c r="AA43" i="30" s="1"/>
  <c r="AA2" i="30"/>
  <c r="AB2" i="30"/>
  <c r="AA3" i="30"/>
  <c r="AB3" i="30"/>
  <c r="AA5" i="30"/>
  <c r="AB5" i="30"/>
  <c r="AA22" i="30"/>
  <c r="AB22" i="30"/>
  <c r="AA12" i="30"/>
  <c r="AA13" i="30" s="1"/>
  <c r="AB12" i="30"/>
  <c r="AB13" i="30" s="1"/>
  <c r="AA34" i="30"/>
  <c r="AB34" i="30"/>
  <c r="AA37" i="30"/>
  <c r="AB43" i="30"/>
  <c r="AA45" i="30"/>
  <c r="AB45" i="30"/>
  <c r="AA46" i="30"/>
  <c r="AB46" i="30"/>
  <c r="AA47" i="30"/>
  <c r="AB47" i="30"/>
  <c r="AA57" i="30"/>
  <c r="AB57" i="30"/>
  <c r="AA61" i="30"/>
  <c r="AB61" i="30"/>
  <c r="AB63" i="30" s="1"/>
  <c r="AA62" i="30"/>
  <c r="AA63" i="30" s="1"/>
  <c r="AB62" i="30"/>
  <c r="AE28" i="38"/>
  <c r="AB2" i="41"/>
  <c r="AB3" i="41"/>
  <c r="AB5" i="41"/>
  <c r="AB6" i="41"/>
  <c r="AB7" i="41"/>
  <c r="AB8" i="41" s="1"/>
  <c r="AB27" i="41"/>
  <c r="AB28" i="41"/>
  <c r="AB36" i="41"/>
  <c r="AB41" i="41"/>
  <c r="AB42" i="41"/>
  <c r="AB45" i="41"/>
  <c r="AB50" i="41"/>
  <c r="AB55" i="41"/>
  <c r="AB56" i="41"/>
  <c r="AB63" i="41"/>
  <c r="AB73" i="41"/>
  <c r="AC26" i="40"/>
  <c r="AC25" i="40"/>
  <c r="AC45" i="40"/>
  <c r="AB45" i="40"/>
  <c r="AB49" i="40" s="1"/>
  <c r="AB46" i="40"/>
  <c r="AB35" i="40"/>
  <c r="AB28" i="40"/>
  <c r="AB33" i="40" s="1"/>
  <c r="AD33" i="39"/>
  <c r="AD31" i="39"/>
  <c r="AC16" i="12"/>
  <c r="AD16" i="12"/>
  <c r="AC17" i="12"/>
  <c r="AD17" i="12"/>
  <c r="AC18" i="12"/>
  <c r="AD18" i="12"/>
  <c r="AC19" i="12"/>
  <c r="AD19" i="12"/>
  <c r="AD15" i="12"/>
  <c r="AC15" i="12"/>
  <c r="AD47" i="12"/>
  <c r="AD28" i="12"/>
  <c r="AD13" i="12"/>
  <c r="AC13" i="12"/>
  <c r="AB16" i="40"/>
  <c r="AB2" i="40"/>
  <c r="AB3" i="40"/>
  <c r="AB5" i="40"/>
  <c r="AB13" i="40"/>
  <c r="AB23" i="40"/>
  <c r="AB82" i="40"/>
  <c r="AB43" i="40"/>
  <c r="AB109" i="40" s="1"/>
  <c r="AB57" i="40"/>
  <c r="AB111" i="40" s="1"/>
  <c r="AB66" i="40"/>
  <c r="AB125" i="40" s="1"/>
  <c r="AB71" i="40"/>
  <c r="AB81" i="40"/>
  <c r="AB83" i="40"/>
  <c r="AB84" i="40"/>
  <c r="AB87" i="40"/>
  <c r="AB102" i="40"/>
  <c r="AB103" i="40"/>
  <c r="AB114" i="40"/>
  <c r="AB118" i="40"/>
  <c r="AB119" i="40"/>
  <c r="AB120" i="40"/>
  <c r="AB42" i="12"/>
  <c r="AB38" i="12"/>
  <c r="AB23" i="12"/>
  <c r="AB18" i="12"/>
  <c r="AB16" i="12"/>
  <c r="AB15" i="12"/>
  <c r="AB2" i="12"/>
  <c r="AB3" i="12"/>
  <c r="AB5" i="12"/>
  <c r="AB12" i="12"/>
  <c r="AB13" i="12"/>
  <c r="AB63" i="12" s="1"/>
  <c r="AB64" i="12" s="1"/>
  <c r="AB20" i="12"/>
  <c r="AB50" i="12"/>
  <c r="AB51" i="12"/>
  <c r="AB52" i="12"/>
  <c r="AB77" i="12" s="1"/>
  <c r="AB78" i="12" s="1"/>
  <c r="AB55" i="12"/>
  <c r="AB57" i="12" s="1"/>
  <c r="AB58" i="12" s="1"/>
  <c r="AB61" i="12"/>
  <c r="AB62" i="12" s="1"/>
  <c r="AB67" i="12"/>
  <c r="AB68" i="12" s="1"/>
  <c r="AB71" i="12"/>
  <c r="AB72" i="12" s="1"/>
  <c r="AB90" i="12"/>
  <c r="AB91" i="12"/>
  <c r="AB93" i="12"/>
  <c r="AB94" i="12"/>
  <c r="AB18" i="39"/>
  <c r="AB2" i="39"/>
  <c r="AB3" i="39"/>
  <c r="AE27" i="38" s="1"/>
  <c r="AB13" i="39"/>
  <c r="AB15" i="39"/>
  <c r="AB16" i="39"/>
  <c r="AB54" i="39" s="1"/>
  <c r="AB55" i="39" s="1"/>
  <c r="AB21" i="39"/>
  <c r="AB23" i="39"/>
  <c r="AB28" i="39"/>
  <c r="AB32" i="39"/>
  <c r="AB34" i="39"/>
  <c r="AB35" i="39"/>
  <c r="AB38" i="39"/>
  <c r="AB40" i="39"/>
  <c r="AB41" i="39"/>
  <c r="AB44" i="39"/>
  <c r="AB46" i="39"/>
  <c r="AB47" i="39"/>
  <c r="AB48" i="39"/>
  <c r="AB62" i="39"/>
  <c r="AB64" i="39"/>
  <c r="AB65" i="39" s="1"/>
  <c r="AB68" i="39"/>
  <c r="AB69" i="39" s="1"/>
  <c r="AB71" i="39"/>
  <c r="AB73" i="39"/>
  <c r="AA36" i="40"/>
  <c r="AA82" i="40" s="1"/>
  <c r="AD28" i="38"/>
  <c r="P24" i="38"/>
  <c r="P25" i="38"/>
  <c r="Z7" i="41"/>
  <c r="AA7" i="41"/>
  <c r="M7" i="4"/>
  <c r="L53" i="19"/>
  <c r="L45" i="19"/>
  <c r="B43" i="19"/>
  <c r="C29" i="2"/>
  <c r="D29" i="2"/>
  <c r="E29" i="2"/>
  <c r="F29" i="2"/>
  <c r="G29" i="2"/>
  <c r="H29" i="2"/>
  <c r="I29" i="2"/>
  <c r="J29" i="2"/>
  <c r="K29" i="2"/>
  <c r="L29" i="2"/>
  <c r="AA46" i="40"/>
  <c r="AA35" i="40"/>
  <c r="AA2" i="41"/>
  <c r="AA3" i="41"/>
  <c r="AA5" i="41"/>
  <c r="AA6" i="41"/>
  <c r="AA16" i="41"/>
  <c r="AA11" i="41"/>
  <c r="AA12" i="41"/>
  <c r="AA13" i="41"/>
  <c r="AA15" i="41"/>
  <c r="AA19" i="41"/>
  <c r="AA25" i="41"/>
  <c r="AA27" i="41"/>
  <c r="AA31" i="41"/>
  <c r="AA35" i="41"/>
  <c r="AA36" i="41"/>
  <c r="AA37" i="41"/>
  <c r="AA84" i="41" s="1"/>
  <c r="AA39" i="41"/>
  <c r="AA47" i="41"/>
  <c r="AA48" i="41"/>
  <c r="AA51" i="41"/>
  <c r="AA55" i="41"/>
  <c r="AA59" i="41"/>
  <c r="AA60" i="41"/>
  <c r="AA61" i="41"/>
  <c r="AA63" i="41"/>
  <c r="AA73" i="41"/>
  <c r="AA124" i="41"/>
  <c r="C97" i="11"/>
  <c r="D97" i="11"/>
  <c r="E97" i="11"/>
  <c r="F97" i="11"/>
  <c r="G97" i="11"/>
  <c r="H97" i="11"/>
  <c r="I97" i="11"/>
  <c r="J97" i="11"/>
  <c r="K97" i="11"/>
  <c r="L97" i="11"/>
  <c r="AA16" i="40"/>
  <c r="AA32" i="40"/>
  <c r="AA28" i="40"/>
  <c r="AA33" i="40" s="1"/>
  <c r="AA2" i="40"/>
  <c r="AA3" i="40"/>
  <c r="AA119" i="40" s="1"/>
  <c r="AA5" i="40"/>
  <c r="AA13" i="40"/>
  <c r="AA23" i="40"/>
  <c r="AA43" i="40"/>
  <c r="AA109" i="40" s="1"/>
  <c r="AA49" i="40"/>
  <c r="AA57" i="40"/>
  <c r="AA111" i="40" s="1"/>
  <c r="AA66" i="40"/>
  <c r="AA71" i="40"/>
  <c r="AA81" i="40"/>
  <c r="AA83" i="40"/>
  <c r="AA84" i="40"/>
  <c r="AA102" i="40"/>
  <c r="AA103" i="40"/>
  <c r="AA104" i="40" s="1"/>
  <c r="AA114" i="40"/>
  <c r="AA118" i="40"/>
  <c r="AA120" i="40"/>
  <c r="AA2" i="13"/>
  <c r="AA3" i="13"/>
  <c r="AA5" i="13"/>
  <c r="AA6" i="13"/>
  <c r="AA7" i="13"/>
  <c r="AA27" i="13" s="1"/>
  <c r="AA93" i="13" s="1"/>
  <c r="AA19" i="13"/>
  <c r="AA50" i="13"/>
  <c r="AA51" i="13"/>
  <c r="AA52" i="13"/>
  <c r="AA53" i="13"/>
  <c r="AA54" i="13"/>
  <c r="AA55" i="13"/>
  <c r="AA42" i="12"/>
  <c r="AA38" i="12"/>
  <c r="AA15" i="12"/>
  <c r="AA23" i="12"/>
  <c r="AA19" i="12"/>
  <c r="AA18" i="12"/>
  <c r="AA16" i="12"/>
  <c r="AA2" i="12"/>
  <c r="AA3" i="12"/>
  <c r="AA5" i="12"/>
  <c r="AA12" i="12"/>
  <c r="AA13" i="12"/>
  <c r="AA14" i="12" s="1"/>
  <c r="AA20" i="12"/>
  <c r="AA46" i="12"/>
  <c r="AA50" i="12"/>
  <c r="AA51" i="12"/>
  <c r="AA52" i="12"/>
  <c r="AA69" i="12" s="1"/>
  <c r="AA70" i="12" s="1"/>
  <c r="AA53" i="12"/>
  <c r="AA54" i="12"/>
  <c r="AA55" i="12"/>
  <c r="AA57" i="12" s="1"/>
  <c r="AA58" i="12" s="1"/>
  <c r="AA67" i="12"/>
  <c r="AA68" i="12" s="1"/>
  <c r="AA71" i="12"/>
  <c r="AA72" i="12" s="1"/>
  <c r="AA90" i="12"/>
  <c r="AA91" i="12"/>
  <c r="AA93" i="12"/>
  <c r="AA94" i="12"/>
  <c r="AA18" i="39"/>
  <c r="AA2" i="39"/>
  <c r="AA3" i="39"/>
  <c r="AA13" i="39"/>
  <c r="AA15" i="39"/>
  <c r="AA16" i="39"/>
  <c r="AA17" i="39" s="1"/>
  <c r="AA21" i="39"/>
  <c r="AA23" i="39"/>
  <c r="AA28" i="39"/>
  <c r="AA32" i="39"/>
  <c r="AA34" i="39"/>
  <c r="AA35" i="39"/>
  <c r="AA38" i="39"/>
  <c r="AA40" i="39"/>
  <c r="AA41" i="39"/>
  <c r="AA44" i="39"/>
  <c r="AA46" i="39"/>
  <c r="AA47" i="39"/>
  <c r="AA48" i="39"/>
  <c r="AA54" i="39"/>
  <c r="AA55" i="39" s="1"/>
  <c r="AA56" i="39"/>
  <c r="AA57" i="39" s="1"/>
  <c r="AA58" i="39"/>
  <c r="AA59" i="39"/>
  <c r="AA62" i="39"/>
  <c r="AA64" i="39"/>
  <c r="AA65" i="39"/>
  <c r="AA68" i="39"/>
  <c r="AA69" i="39"/>
  <c r="AA71" i="39"/>
  <c r="AA73" i="39"/>
  <c r="AD27" i="38"/>
  <c r="Z2" i="31"/>
  <c r="Z3" i="31"/>
  <c r="Z5" i="31"/>
  <c r="Z6" i="31"/>
  <c r="Z7" i="31"/>
  <c r="Z8" i="31" s="1"/>
  <c r="Z10" i="31"/>
  <c r="Z11" i="31"/>
  <c r="Z14" i="31"/>
  <c r="Z56" i="31" s="1"/>
  <c r="Z15" i="31"/>
  <c r="Z16" i="31"/>
  <c r="Z17" i="31"/>
  <c r="Z18" i="31"/>
  <c r="Z19" i="31"/>
  <c r="Z20" i="31"/>
  <c r="Z21" i="31"/>
  <c r="Z23" i="31"/>
  <c r="Z33" i="31" s="1"/>
  <c r="Z24" i="31"/>
  <c r="Z25" i="31"/>
  <c r="Z26" i="31"/>
  <c r="Z27" i="31"/>
  <c r="Z28" i="31"/>
  <c r="Z29" i="31"/>
  <c r="Z30" i="31"/>
  <c r="Z31" i="31"/>
  <c r="Z32" i="31"/>
  <c r="Z35" i="31"/>
  <c r="Z44" i="31"/>
  <c r="Z45" i="31"/>
  <c r="Z46" i="31"/>
  <c r="Z60" i="31"/>
  <c r="Z62" i="31" s="1"/>
  <c r="Z61" i="31"/>
  <c r="Z15" i="30"/>
  <c r="Z19" i="30"/>
  <c r="Z11" i="30"/>
  <c r="Z28" i="30"/>
  <c r="Z2" i="30"/>
  <c r="Z3" i="30"/>
  <c r="Z5" i="30"/>
  <c r="Z37" i="30"/>
  <c r="Z61" i="30"/>
  <c r="Z2" i="41"/>
  <c r="Z3" i="41"/>
  <c r="Z5" i="41"/>
  <c r="Z6" i="41"/>
  <c r="Z15" i="41"/>
  <c r="Z13" i="41"/>
  <c r="Z14" i="41"/>
  <c r="Z19" i="41"/>
  <c r="Z25" i="41"/>
  <c r="Z26" i="41"/>
  <c r="Z81" i="41" s="1"/>
  <c r="Z31" i="41"/>
  <c r="Z37" i="41"/>
  <c r="Z84" i="41" s="1"/>
  <c r="Z38" i="41"/>
  <c r="Z120" i="41" s="1"/>
  <c r="Z50" i="41"/>
  <c r="Z55" i="41"/>
  <c r="Z61" i="41"/>
  <c r="Z62" i="41"/>
  <c r="Z65" i="41"/>
  <c r="Z73" i="41"/>
  <c r="Z46" i="40"/>
  <c r="Z56" i="40"/>
  <c r="Z64" i="40"/>
  <c r="Z36" i="40"/>
  <c r="Z35" i="40"/>
  <c r="Z16" i="40"/>
  <c r="Z28" i="40"/>
  <c r="Z32" i="40"/>
  <c r="Z2" i="40"/>
  <c r="Z3" i="40"/>
  <c r="Z5" i="40"/>
  <c r="Z2" i="13"/>
  <c r="Z3" i="13"/>
  <c r="Z5" i="13"/>
  <c r="Z6" i="13"/>
  <c r="Z7" i="13"/>
  <c r="Z16" i="13" s="1"/>
  <c r="Z77" i="13" s="1"/>
  <c r="Z78" i="13" s="1"/>
  <c r="Z15" i="13"/>
  <c r="Z19" i="13"/>
  <c r="Z27" i="13"/>
  <c r="Z31" i="13"/>
  <c r="Z34" i="13"/>
  <c r="Z36" i="13"/>
  <c r="Z38" i="13"/>
  <c r="Z90" i="13" s="1"/>
  <c r="Z92" i="13" s="1"/>
  <c r="Z39" i="13"/>
  <c r="Z46" i="13"/>
  <c r="Z50" i="13"/>
  <c r="Z54" i="13" s="1"/>
  <c r="Z51" i="13"/>
  <c r="Z52" i="13"/>
  <c r="Z53" i="13" s="1"/>
  <c r="Z55" i="13"/>
  <c r="Z91" i="13"/>
  <c r="Z93" i="13"/>
  <c r="Z42" i="12"/>
  <c r="Z38" i="12"/>
  <c r="Z23" i="12"/>
  <c r="Z18" i="12"/>
  <c r="Z15" i="12"/>
  <c r="Z2" i="12"/>
  <c r="Z3" i="12"/>
  <c r="Z5" i="12"/>
  <c r="Z46" i="12"/>
  <c r="Z50" i="12"/>
  <c r="Z51" i="12" s="1"/>
  <c r="Z52" i="12"/>
  <c r="Z53" i="12" s="1"/>
  <c r="Z55" i="12"/>
  <c r="Z59" i="12" s="1"/>
  <c r="Z60" i="12" s="1"/>
  <c r="Z93" i="12"/>
  <c r="Z94" i="12"/>
  <c r="Z18" i="39"/>
  <c r="AC28" i="38"/>
  <c r="Z2" i="39"/>
  <c r="Z3" i="39"/>
  <c r="AC27" i="38" s="1"/>
  <c r="Z15" i="39"/>
  <c r="Z16" i="39"/>
  <c r="Z58" i="39" s="1"/>
  <c r="Z59" i="39" s="1"/>
  <c r="Z21" i="39"/>
  <c r="Z23" i="39"/>
  <c r="Z38" i="39"/>
  <c r="Z40" i="39"/>
  <c r="Z41" i="39"/>
  <c r="Z44" i="39"/>
  <c r="Z46" i="39"/>
  <c r="Z47" i="39"/>
  <c r="Z48" i="39"/>
  <c r="Z62" i="39"/>
  <c r="Z68" i="39"/>
  <c r="Z69" i="39"/>
  <c r="Z71" i="39"/>
  <c r="L21" i="6"/>
  <c r="AB54" i="13" l="1"/>
  <c r="AB92" i="13"/>
  <c r="AB95" i="13" s="1"/>
  <c r="AC44" i="13"/>
  <c r="AC33" i="13"/>
  <c r="AC19" i="13"/>
  <c r="AC41" i="13"/>
  <c r="AC31" i="13"/>
  <c r="AC39" i="13"/>
  <c r="AC91" i="13" s="1"/>
  <c r="AC17" i="13"/>
  <c r="AC29" i="13"/>
  <c r="AC15" i="13"/>
  <c r="AC24" i="13" s="1"/>
  <c r="AC75" i="13" s="1"/>
  <c r="AC76" i="13" s="1"/>
  <c r="AC38" i="13"/>
  <c r="AC90" i="13" s="1"/>
  <c r="AC27" i="13"/>
  <c r="AC93" i="13" s="1"/>
  <c r="AB15" i="13"/>
  <c r="AC94" i="13"/>
  <c r="AC11" i="13"/>
  <c r="AB71" i="13"/>
  <c r="AB72" i="13" s="1"/>
  <c r="AC8" i="13"/>
  <c r="AB8" i="13"/>
  <c r="AC79" i="13"/>
  <c r="AC80" i="13" s="1"/>
  <c r="AC51" i="13"/>
  <c r="AC25" i="13"/>
  <c r="AB51" i="13"/>
  <c r="AB41" i="13"/>
  <c r="AB35" i="13"/>
  <c r="AB29" i="13"/>
  <c r="AB23" i="13"/>
  <c r="AB17" i="13"/>
  <c r="AB11" i="13"/>
  <c r="AB12" i="13" s="1"/>
  <c r="AC10" i="13"/>
  <c r="AC46" i="13"/>
  <c r="AC40" i="13"/>
  <c r="AC34" i="13"/>
  <c r="AC22" i="13"/>
  <c r="AB46" i="13"/>
  <c r="AB40" i="13"/>
  <c r="AB34" i="13"/>
  <c r="AB22" i="13"/>
  <c r="AB20" i="13" s="1"/>
  <c r="AB16" i="13"/>
  <c r="AA12" i="31"/>
  <c r="AB48" i="31"/>
  <c r="AB20" i="31"/>
  <c r="AB14" i="31"/>
  <c r="AB8" i="31"/>
  <c r="AB13" i="31" s="1"/>
  <c r="AB16" i="31"/>
  <c r="AA40" i="30"/>
  <c r="AA49" i="30"/>
  <c r="AA56" i="30"/>
  <c r="AA58" i="30" s="1"/>
  <c r="AA44" i="30"/>
  <c r="AA35" i="30"/>
  <c r="AA38" i="30" s="1"/>
  <c r="AB37" i="30" s="1"/>
  <c r="AB40" i="30"/>
  <c r="AB49" i="30"/>
  <c r="AB56" i="30"/>
  <c r="AB58" i="30" s="1"/>
  <c r="AB44" i="30"/>
  <c r="AB35" i="30"/>
  <c r="AB25" i="41"/>
  <c r="AB64" i="41"/>
  <c r="AB51" i="41"/>
  <c r="AB37" i="41"/>
  <c r="AB84" i="41" s="1"/>
  <c r="AB18" i="41"/>
  <c r="AB17" i="41"/>
  <c r="AB62" i="41"/>
  <c r="AB16" i="41"/>
  <c r="AB31" i="41"/>
  <c r="AB60" i="41"/>
  <c r="AB47" i="41"/>
  <c r="AB30" i="41"/>
  <c r="AB118" i="41" s="1"/>
  <c r="AB13" i="41"/>
  <c r="AB35" i="41"/>
  <c r="AB82" i="41" s="1"/>
  <c r="AB61" i="41"/>
  <c r="AB48" i="41"/>
  <c r="AB15" i="41"/>
  <c r="AB124" i="41"/>
  <c r="AB59" i="41"/>
  <c r="AB46" i="41"/>
  <c r="AB49" i="41" s="1"/>
  <c r="AB29" i="41"/>
  <c r="AB83" i="41" s="1"/>
  <c r="AB11" i="41"/>
  <c r="AB10" i="41"/>
  <c r="AB26" i="41"/>
  <c r="AB40" i="41"/>
  <c r="AB114" i="41" s="1"/>
  <c r="AB54" i="41"/>
  <c r="AB103" i="41" s="1"/>
  <c r="AB53" i="41"/>
  <c r="AB39" i="41"/>
  <c r="AB22" i="41"/>
  <c r="AB65" i="41"/>
  <c r="AB52" i="41"/>
  <c r="AB38" i="41"/>
  <c r="AB19" i="41"/>
  <c r="AB81" i="41"/>
  <c r="AB14" i="41"/>
  <c r="AB12" i="41"/>
  <c r="AB21" i="41"/>
  <c r="AB102" i="41" s="1"/>
  <c r="AB9" i="41"/>
  <c r="AB32" i="41"/>
  <c r="AB20" i="41"/>
  <c r="AB70" i="40"/>
  <c r="AB79" i="40" s="1"/>
  <c r="AB123" i="40"/>
  <c r="AB126" i="40" s="1"/>
  <c r="AB104" i="40"/>
  <c r="AB88" i="40"/>
  <c r="AB44" i="40"/>
  <c r="AB115" i="40" s="1"/>
  <c r="AB117" i="40"/>
  <c r="AB116" i="40"/>
  <c r="AB108" i="40"/>
  <c r="AB24" i="40"/>
  <c r="AB85" i="40"/>
  <c r="AB72" i="40"/>
  <c r="AB86" i="40"/>
  <c r="AB24" i="12"/>
  <c r="AB79" i="12" s="1"/>
  <c r="AB80" i="12" s="1"/>
  <c r="AB92" i="12"/>
  <c r="AB95" i="12" s="1"/>
  <c r="AB65" i="12"/>
  <c r="AB66" i="12" s="1"/>
  <c r="AB59" i="12"/>
  <c r="AB60" i="12" s="1"/>
  <c r="AB69" i="12"/>
  <c r="AB70" i="12" s="1"/>
  <c r="AB14" i="12"/>
  <c r="AB54" i="12"/>
  <c r="AB53" i="12"/>
  <c r="AB56" i="39"/>
  <c r="AB57" i="39" s="1"/>
  <c r="AB58" i="39"/>
  <c r="AB59" i="39" s="1"/>
  <c r="AB52" i="39"/>
  <c r="AB53" i="39" s="1"/>
  <c r="AB50" i="39"/>
  <c r="AB51" i="39" s="1"/>
  <c r="AB17" i="39"/>
  <c r="AA35" i="13"/>
  <c r="AA31" i="13"/>
  <c r="AA23" i="13"/>
  <c r="Z87" i="41"/>
  <c r="Z86" i="41"/>
  <c r="AA82" i="41"/>
  <c r="AA62" i="41"/>
  <c r="AA50" i="41"/>
  <c r="AA38" i="41"/>
  <c r="AA26" i="41"/>
  <c r="AA14" i="41"/>
  <c r="AA46" i="41"/>
  <c r="AA22" i="41"/>
  <c r="AA10" i="41"/>
  <c r="AA45" i="41"/>
  <c r="AA49" i="41" s="1"/>
  <c r="AA21" i="41"/>
  <c r="AA102" i="41" s="1"/>
  <c r="AA104" i="41" s="1"/>
  <c r="AA9" i="41"/>
  <c r="AA70" i="41"/>
  <c r="AA56" i="41"/>
  <c r="AA32" i="41"/>
  <c r="AA20" i="41"/>
  <c r="AA8" i="41"/>
  <c r="AA54" i="41"/>
  <c r="AA103" i="41" s="1"/>
  <c r="AA42" i="41"/>
  <c r="AA30" i="41"/>
  <c r="AA18" i="41"/>
  <c r="AA65" i="41"/>
  <c r="AA53" i="41"/>
  <c r="AA41" i="41"/>
  <c r="AA29" i="41"/>
  <c r="AA83" i="41" s="1"/>
  <c r="AA17" i="41"/>
  <c r="AA64" i="41"/>
  <c r="AA52" i="41"/>
  <c r="AA40" i="41"/>
  <c r="AA114" i="41" s="1"/>
  <c r="AA28" i="41"/>
  <c r="AA125" i="40"/>
  <c r="AA123" i="40"/>
  <c r="AA126" i="40" s="1"/>
  <c r="AA44" i="40"/>
  <c r="AA115" i="40" s="1"/>
  <c r="AA116" i="40"/>
  <c r="AA108" i="40"/>
  <c r="AA85" i="40"/>
  <c r="AA24" i="40"/>
  <c r="AA117" i="40"/>
  <c r="AA70" i="40"/>
  <c r="AA87" i="40"/>
  <c r="AA86" i="40"/>
  <c r="AA39" i="13"/>
  <c r="AA91" i="13" s="1"/>
  <c r="AA15" i="13"/>
  <c r="AA38" i="13"/>
  <c r="AA90" i="13" s="1"/>
  <c r="AA92" i="13" s="1"/>
  <c r="AA36" i="13"/>
  <c r="AA11" i="13"/>
  <c r="AA34" i="13"/>
  <c r="AA10" i="13"/>
  <c r="AA46" i="13"/>
  <c r="AA22" i="13"/>
  <c r="AA33" i="13"/>
  <c r="AA21" i="13"/>
  <c r="AA9" i="13"/>
  <c r="AA59" i="13" s="1"/>
  <c r="AA60" i="13" s="1"/>
  <c r="AA44" i="13"/>
  <c r="AA32" i="13"/>
  <c r="AA8" i="13"/>
  <c r="AA42" i="13"/>
  <c r="AA18" i="13"/>
  <c r="AA41" i="13"/>
  <c r="AA29" i="13"/>
  <c r="AA17" i="13"/>
  <c r="AA40" i="13"/>
  <c r="AA16" i="13"/>
  <c r="AA77" i="13" s="1"/>
  <c r="AA78" i="13" s="1"/>
  <c r="AA24" i="12"/>
  <c r="AA75" i="12" s="1"/>
  <c r="AA92" i="12"/>
  <c r="AA95" i="12" s="1"/>
  <c r="AA65" i="12"/>
  <c r="AA66" i="12" s="1"/>
  <c r="AA77" i="12"/>
  <c r="AA78" i="12" s="1"/>
  <c r="AA63" i="12"/>
  <c r="AA64" i="12" s="1"/>
  <c r="AA61" i="12"/>
  <c r="AA62" i="12" s="1"/>
  <c r="AA59" i="12"/>
  <c r="AA60" i="12" s="1"/>
  <c r="AA52" i="39"/>
  <c r="AA53" i="39" s="1"/>
  <c r="AA50" i="39"/>
  <c r="AA51" i="39" s="1"/>
  <c r="Z22" i="31"/>
  <c r="Z9" i="31"/>
  <c r="Z12" i="31" s="1"/>
  <c r="Z60" i="41"/>
  <c r="Z48" i="41"/>
  <c r="Z36" i="41"/>
  <c r="Z12" i="41"/>
  <c r="Z59" i="41"/>
  <c r="Z47" i="41"/>
  <c r="Z35" i="41"/>
  <c r="Z11" i="41"/>
  <c r="Z46" i="41"/>
  <c r="Z22" i="41"/>
  <c r="Z10" i="41"/>
  <c r="Z71" i="41"/>
  <c r="Z45" i="41"/>
  <c r="Z21" i="41"/>
  <c r="Z102" i="41" s="1"/>
  <c r="Z9" i="41"/>
  <c r="Z56" i="41"/>
  <c r="Z32" i="41"/>
  <c r="Z20" i="41"/>
  <c r="Z8" i="41"/>
  <c r="Z54" i="41"/>
  <c r="Z103" i="41" s="1"/>
  <c r="Z42" i="41"/>
  <c r="Z30" i="41"/>
  <c r="Z18" i="41"/>
  <c r="Z17" i="41"/>
  <c r="Z53" i="41"/>
  <c r="Z41" i="41"/>
  <c r="Z29" i="41"/>
  <c r="Z83" i="41" s="1"/>
  <c r="Z64" i="41"/>
  <c r="Z52" i="41"/>
  <c r="Z40" i="41"/>
  <c r="Z114" i="41" s="1"/>
  <c r="Z28" i="41"/>
  <c r="Z16" i="41"/>
  <c r="Z23" i="41" s="1"/>
  <c r="Z24" i="41" s="1"/>
  <c r="Z124" i="41"/>
  <c r="Z63" i="41"/>
  <c r="Z51" i="41"/>
  <c r="Z39" i="41"/>
  <c r="Z27" i="41"/>
  <c r="Z35" i="13"/>
  <c r="Z23" i="13"/>
  <c r="Z11" i="13"/>
  <c r="Z22" i="13"/>
  <c r="Z10" i="13"/>
  <c r="Z33" i="13"/>
  <c r="Z21" i="13"/>
  <c r="Z9" i="13"/>
  <c r="Z59" i="13" s="1"/>
  <c r="Z60" i="13" s="1"/>
  <c r="Z44" i="13"/>
  <c r="Z32" i="13"/>
  <c r="Z8" i="13"/>
  <c r="Z42" i="13"/>
  <c r="Z18" i="13"/>
  <c r="Z17" i="13"/>
  <c r="Z41" i="13"/>
  <c r="Z29" i="13"/>
  <c r="Z40" i="13"/>
  <c r="Z54" i="12"/>
  <c r="Z17" i="39"/>
  <c r="Z54" i="39"/>
  <c r="Z55" i="39" s="1"/>
  <c r="Z13" i="39"/>
  <c r="Z52" i="39"/>
  <c r="Z53" i="39" s="1"/>
  <c r="C17" i="17"/>
  <c r="D17" i="17"/>
  <c r="E17" i="17"/>
  <c r="F17" i="17"/>
  <c r="G17" i="17"/>
  <c r="H17" i="17"/>
  <c r="I17" i="17"/>
  <c r="J17" i="17"/>
  <c r="K17" i="17"/>
  <c r="L17" i="17"/>
  <c r="M17" i="17"/>
  <c r="C18" i="17"/>
  <c r="D18" i="17"/>
  <c r="E18" i="17"/>
  <c r="F18" i="17"/>
  <c r="G18" i="17"/>
  <c r="H18" i="17"/>
  <c r="I18" i="17"/>
  <c r="J18" i="17"/>
  <c r="K18" i="17"/>
  <c r="L18" i="17"/>
  <c r="C19" i="17"/>
  <c r="D19" i="17"/>
  <c r="E19" i="17"/>
  <c r="F19" i="17"/>
  <c r="G19" i="17"/>
  <c r="H19" i="17"/>
  <c r="I19" i="17"/>
  <c r="J19" i="17"/>
  <c r="K19" i="17"/>
  <c r="L19" i="17"/>
  <c r="M19" i="17"/>
  <c r="C20" i="17"/>
  <c r="D20" i="17"/>
  <c r="E20" i="17"/>
  <c r="F20" i="17"/>
  <c r="G20" i="17"/>
  <c r="H20" i="17"/>
  <c r="I20" i="17"/>
  <c r="J20" i="17"/>
  <c r="K20" i="17"/>
  <c r="L20" i="17"/>
  <c r="M20" i="17"/>
  <c r="C21" i="17"/>
  <c r="D21" i="17"/>
  <c r="E21" i="17"/>
  <c r="F21" i="17"/>
  <c r="G21" i="17"/>
  <c r="H21" i="17"/>
  <c r="I21" i="17"/>
  <c r="J21" i="17"/>
  <c r="K21" i="17"/>
  <c r="L21" i="17"/>
  <c r="M21" i="17"/>
  <c r="C22" i="17"/>
  <c r="D22" i="17"/>
  <c r="E22" i="17"/>
  <c r="F22" i="17"/>
  <c r="G22" i="17"/>
  <c r="H22" i="17"/>
  <c r="I22" i="17"/>
  <c r="J22" i="17"/>
  <c r="K22" i="17"/>
  <c r="L22" i="17"/>
  <c r="C23" i="17"/>
  <c r="D23" i="17"/>
  <c r="E23" i="17"/>
  <c r="F23" i="17"/>
  <c r="G23" i="17"/>
  <c r="H23" i="17"/>
  <c r="I23" i="17"/>
  <c r="J23" i="17"/>
  <c r="K23" i="17"/>
  <c r="L23" i="17"/>
  <c r="M23" i="17"/>
  <c r="C24" i="17"/>
  <c r="D24" i="17"/>
  <c r="E24" i="17"/>
  <c r="F24" i="17"/>
  <c r="G24" i="17"/>
  <c r="H24" i="17"/>
  <c r="I24" i="17"/>
  <c r="J24" i="17"/>
  <c r="K24" i="17"/>
  <c r="L24" i="17"/>
  <c r="M24" i="17"/>
  <c r="Y29" i="39"/>
  <c r="Y27" i="39"/>
  <c r="Y33" i="39"/>
  <c r="Y31" i="39"/>
  <c r="L18" i="6"/>
  <c r="Y37" i="30"/>
  <c r="Y36" i="30"/>
  <c r="Y24" i="30"/>
  <c r="Y25" i="30"/>
  <c r="Y26" i="30"/>
  <c r="Y27" i="30"/>
  <c r="Y28" i="30"/>
  <c r="Y29" i="30"/>
  <c r="Y30" i="30"/>
  <c r="Y31" i="30"/>
  <c r="Y32" i="30"/>
  <c r="Y33" i="30"/>
  <c r="Y23" i="30"/>
  <c r="Y15" i="30"/>
  <c r="Y16" i="30"/>
  <c r="Y17" i="30"/>
  <c r="Y18" i="30"/>
  <c r="Y19" i="30"/>
  <c r="Y20" i="30"/>
  <c r="Y21" i="30"/>
  <c r="Y14" i="30"/>
  <c r="Y9" i="30"/>
  <c r="Y10" i="30"/>
  <c r="Y11" i="30"/>
  <c r="Y8" i="30"/>
  <c r="L25" i="19"/>
  <c r="Y65" i="40"/>
  <c r="Y64" i="40"/>
  <c r="Y63" i="40"/>
  <c r="Y62" i="40"/>
  <c r="Y61" i="40"/>
  <c r="Y60" i="40"/>
  <c r="Y59" i="40"/>
  <c r="Y56" i="40"/>
  <c r="Y55" i="40"/>
  <c r="Y54" i="40"/>
  <c r="Y53" i="40"/>
  <c r="Y52" i="40"/>
  <c r="Y51" i="40"/>
  <c r="Y50" i="40"/>
  <c r="Y48" i="40"/>
  <c r="Y47" i="40"/>
  <c r="Y46" i="40"/>
  <c r="Y45" i="40"/>
  <c r="Y42" i="40"/>
  <c r="Y41" i="40"/>
  <c r="Y40" i="40"/>
  <c r="Y39" i="40"/>
  <c r="Y38" i="40"/>
  <c r="Y37" i="40"/>
  <c r="Y36" i="40"/>
  <c r="Y35" i="40"/>
  <c r="Y32" i="40"/>
  <c r="Y31" i="40"/>
  <c r="Y30" i="40"/>
  <c r="Y29" i="40"/>
  <c r="Y28" i="40"/>
  <c r="Y27" i="40"/>
  <c r="Y26" i="40"/>
  <c r="Y25" i="40"/>
  <c r="Y22" i="40"/>
  <c r="Y21" i="40"/>
  <c r="Y20" i="40"/>
  <c r="Y19" i="40"/>
  <c r="Y18" i="40"/>
  <c r="Y17" i="40"/>
  <c r="Y16" i="40"/>
  <c r="Y15" i="40"/>
  <c r="Y14" i="40"/>
  <c r="Y9" i="40"/>
  <c r="Y10" i="40"/>
  <c r="Y11" i="40"/>
  <c r="Y12" i="40"/>
  <c r="Y8" i="40"/>
  <c r="L35" i="18"/>
  <c r="L46" i="18"/>
  <c r="L45" i="18" s="1"/>
  <c r="L36" i="18"/>
  <c r="L55" i="18"/>
  <c r="L16" i="18"/>
  <c r="L32" i="18"/>
  <c r="L28" i="18"/>
  <c r="L30" i="18"/>
  <c r="Y44" i="12"/>
  <c r="Y42" i="12"/>
  <c r="Y41" i="12"/>
  <c r="Y40" i="12"/>
  <c r="Y39" i="12"/>
  <c r="Y38" i="12"/>
  <c r="Y32" i="12"/>
  <c r="Y33" i="12"/>
  <c r="Y34" i="12"/>
  <c r="Y35" i="12"/>
  <c r="Y36" i="12"/>
  <c r="Y31" i="12"/>
  <c r="Y29" i="12"/>
  <c r="Y23" i="12"/>
  <c r="Y22" i="12"/>
  <c r="Y19" i="12"/>
  <c r="Y18" i="12"/>
  <c r="Y17" i="12"/>
  <c r="Y16" i="12"/>
  <c r="Y15" i="12"/>
  <c r="Y11" i="12"/>
  <c r="Y10" i="12"/>
  <c r="Y8" i="12"/>
  <c r="L42" i="11"/>
  <c r="L15" i="11"/>
  <c r="L23" i="11"/>
  <c r="L18" i="11"/>
  <c r="L19" i="11"/>
  <c r="L17" i="11"/>
  <c r="O25" i="38"/>
  <c r="L7" i="4" s="1"/>
  <c r="O24" i="38"/>
  <c r="AB28" i="38"/>
  <c r="AB29" i="38"/>
  <c r="AC92" i="13" l="1"/>
  <c r="AC95" i="13" s="1"/>
  <c r="AB120" i="41"/>
  <c r="AB24" i="13"/>
  <c r="AB77" i="13"/>
  <c r="AB78" i="13" s="1"/>
  <c r="AB61" i="13"/>
  <c r="AB62" i="13" s="1"/>
  <c r="AB67" i="13"/>
  <c r="AB68" i="13" s="1"/>
  <c r="AB57" i="13"/>
  <c r="AB58" i="13" s="1"/>
  <c r="AB69" i="13"/>
  <c r="AB70" i="13" s="1"/>
  <c r="AB13" i="13"/>
  <c r="AB119" i="41" s="1"/>
  <c r="AC12" i="13"/>
  <c r="AC71" i="13"/>
  <c r="AC72" i="13" s="1"/>
  <c r="AC61" i="13"/>
  <c r="AC62" i="13" s="1"/>
  <c r="AC67" i="13"/>
  <c r="AC68" i="13" s="1"/>
  <c r="AC57" i="13"/>
  <c r="AC58" i="13" s="1"/>
  <c r="AC69" i="13"/>
  <c r="AC70" i="13" s="1"/>
  <c r="AC13" i="13"/>
  <c r="AA48" i="31"/>
  <c r="AB34" i="31"/>
  <c r="AB39" i="31"/>
  <c r="AB42" i="31"/>
  <c r="AB55" i="31"/>
  <c r="AB22" i="31"/>
  <c r="AB56" i="31"/>
  <c r="AB43" i="31"/>
  <c r="AA13" i="31"/>
  <c r="AB38" i="30"/>
  <c r="AB23" i="41"/>
  <c r="AB24" i="41" s="1"/>
  <c r="AB110" i="41" s="1"/>
  <c r="AB43" i="41"/>
  <c r="AB109" i="41" s="1"/>
  <c r="AB33" i="41"/>
  <c r="AB108" i="41" s="1"/>
  <c r="AB85" i="41"/>
  <c r="AB87" i="41"/>
  <c r="AB104" i="41"/>
  <c r="AB70" i="41"/>
  <c r="AB72" i="41" s="1"/>
  <c r="AB66" i="41"/>
  <c r="AB123" i="41" s="1"/>
  <c r="AB126" i="41" s="1"/>
  <c r="AB71" i="41"/>
  <c r="AB57" i="41"/>
  <c r="AB111" i="41" s="1"/>
  <c r="AB79" i="41"/>
  <c r="AB75" i="40"/>
  <c r="AB92" i="40"/>
  <c r="AB105" i="40"/>
  <c r="AB127" i="40"/>
  <c r="AB90" i="40"/>
  <c r="AB91" i="40"/>
  <c r="AB110" i="40"/>
  <c r="AB112" i="40" s="1"/>
  <c r="AB34" i="40"/>
  <c r="AB26" i="12"/>
  <c r="AB28" i="12" s="1"/>
  <c r="AB25" i="12"/>
  <c r="AB75" i="12"/>
  <c r="AB76" i="12" s="1"/>
  <c r="AA86" i="41"/>
  <c r="Z33" i="41"/>
  <c r="Z44" i="41" s="1"/>
  <c r="Z115" i="41" s="1"/>
  <c r="AA66" i="41"/>
  <c r="AA123" i="41" s="1"/>
  <c r="AA126" i="41" s="1"/>
  <c r="Z57" i="41"/>
  <c r="Z111" i="41" s="1"/>
  <c r="AA125" i="41"/>
  <c r="AA79" i="41"/>
  <c r="AA23" i="41"/>
  <c r="AA24" i="41" s="1"/>
  <c r="AA118" i="41"/>
  <c r="AA57" i="41"/>
  <c r="AA111" i="41" s="1"/>
  <c r="AA33" i="41"/>
  <c r="AA81" i="41"/>
  <c r="AA85" i="41" s="1"/>
  <c r="AA71" i="41"/>
  <c r="AA72" i="41" s="1"/>
  <c r="AA88" i="41"/>
  <c r="AA43" i="41"/>
  <c r="AA109" i="41" s="1"/>
  <c r="AA79" i="40"/>
  <c r="AA72" i="40"/>
  <c r="AA88" i="40"/>
  <c r="AA110" i="40"/>
  <c r="AA112" i="40" s="1"/>
  <c r="AA34" i="40"/>
  <c r="AA67" i="13"/>
  <c r="AA68" i="13" s="1"/>
  <c r="AA57" i="13"/>
  <c r="AA58" i="13" s="1"/>
  <c r="AA69" i="13"/>
  <c r="AA70" i="13" s="1"/>
  <c r="AA61" i="13"/>
  <c r="AA62" i="13" s="1"/>
  <c r="AA13" i="13"/>
  <c r="AA119" i="41" s="1"/>
  <c r="AA71" i="13"/>
  <c r="AA72" i="13" s="1"/>
  <c r="AA12" i="13"/>
  <c r="AA20" i="13"/>
  <c r="AA24" i="13" s="1"/>
  <c r="AA87" i="41" s="1"/>
  <c r="AA94" i="13"/>
  <c r="AA95" i="13" s="1"/>
  <c r="AA25" i="12"/>
  <c r="AA79" i="12"/>
  <c r="AA80" i="12" s="1"/>
  <c r="AA26" i="12"/>
  <c r="AA98" i="12" s="1"/>
  <c r="AA82" i="12"/>
  <c r="AA76" i="12"/>
  <c r="Z48" i="31"/>
  <c r="Z43" i="31"/>
  <c r="Z13" i="31"/>
  <c r="Z110" i="41"/>
  <c r="Z34" i="41"/>
  <c r="Z108" i="41"/>
  <c r="Z112" i="41" s="1"/>
  <c r="Z82" i="41"/>
  <c r="Z85" i="41" s="1"/>
  <c r="Z43" i="41"/>
  <c r="Z109" i="41" s="1"/>
  <c r="Z70" i="41"/>
  <c r="Z66" i="41"/>
  <c r="Z118" i="41"/>
  <c r="Z119" i="41"/>
  <c r="Z104" i="41"/>
  <c r="Z49" i="41"/>
  <c r="Z79" i="41"/>
  <c r="Z125" i="41"/>
  <c r="Z24" i="13"/>
  <c r="Z94" i="13"/>
  <c r="Z95" i="13" s="1"/>
  <c r="Z20" i="13"/>
  <c r="Z71" i="13"/>
  <c r="Z72" i="13" s="1"/>
  <c r="Z12" i="13"/>
  <c r="Z67" i="13"/>
  <c r="Z68" i="13" s="1"/>
  <c r="Z57" i="13"/>
  <c r="Z58" i="13" s="1"/>
  <c r="Z69" i="13"/>
  <c r="Z70" i="13" s="1"/>
  <c r="Z61" i="13"/>
  <c r="Z62" i="13" s="1"/>
  <c r="Z13" i="13"/>
  <c r="X37" i="30"/>
  <c r="X33" i="30"/>
  <c r="X14" i="30"/>
  <c r="X11" i="30"/>
  <c r="X8" i="30"/>
  <c r="X16" i="40"/>
  <c r="X28" i="40"/>
  <c r="X42" i="12"/>
  <c r="X15" i="12"/>
  <c r="X29" i="12"/>
  <c r="X23" i="12"/>
  <c r="X18" i="12"/>
  <c r="X19" i="12"/>
  <c r="X17" i="12"/>
  <c r="AA28" i="38"/>
  <c r="AA29" i="38"/>
  <c r="AB86" i="41" l="1"/>
  <c r="AB63" i="13"/>
  <c r="AB64" i="13" s="1"/>
  <c r="AB14" i="13"/>
  <c r="AB26" i="13"/>
  <c r="AB65" i="13"/>
  <c r="AB66" i="13" s="1"/>
  <c r="AC63" i="13"/>
  <c r="AC65" i="13"/>
  <c r="AC66" i="13" s="1"/>
  <c r="AC14" i="13"/>
  <c r="AC26" i="13"/>
  <c r="AB75" i="13"/>
  <c r="AB25" i="13"/>
  <c r="AB79" i="13"/>
  <c r="AB80" i="13" s="1"/>
  <c r="AA34" i="31"/>
  <c r="AA39" i="31"/>
  <c r="AA42" i="31"/>
  <c r="AA55" i="31"/>
  <c r="AA57" i="31" s="1"/>
  <c r="AA63" i="31" s="1"/>
  <c r="AB57" i="31"/>
  <c r="AB63" i="31" s="1"/>
  <c r="AA43" i="31"/>
  <c r="AB117" i="41"/>
  <c r="AB88" i="41"/>
  <c r="AB112" i="41"/>
  <c r="AB44" i="41"/>
  <c r="AB115" i="41" s="1"/>
  <c r="AB125" i="41"/>
  <c r="AB34" i="41"/>
  <c r="AB68" i="41" s="1"/>
  <c r="AB116" i="41"/>
  <c r="AB127" i="41"/>
  <c r="AB90" i="41"/>
  <c r="AB91" i="41"/>
  <c r="AB75" i="41"/>
  <c r="AB92" i="41"/>
  <c r="AB105" i="41"/>
  <c r="AB58" i="40"/>
  <c r="AB99" i="40"/>
  <c r="AB100" i="40"/>
  <c r="AB68" i="40"/>
  <c r="AB93" i="40"/>
  <c r="AB94" i="40"/>
  <c r="AB95" i="40"/>
  <c r="AB96" i="40"/>
  <c r="AB128" i="40"/>
  <c r="AB98" i="40" s="1"/>
  <c r="AB106" i="40"/>
  <c r="AB97" i="40"/>
  <c r="AB81" i="12"/>
  <c r="AB82" i="12"/>
  <c r="AB98" i="12"/>
  <c r="AB30" i="12"/>
  <c r="AB99" i="12"/>
  <c r="AA120" i="41"/>
  <c r="Z116" i="41"/>
  <c r="Z117" i="41"/>
  <c r="AA117" i="41"/>
  <c r="AA92" i="41"/>
  <c r="AA105" i="41"/>
  <c r="AA91" i="41"/>
  <c r="AA75" i="41"/>
  <c r="AA90" i="41"/>
  <c r="AA127" i="41"/>
  <c r="AA44" i="41"/>
  <c r="AA115" i="41" s="1"/>
  <c r="AA116" i="41"/>
  <c r="AA108" i="41"/>
  <c r="AA110" i="41"/>
  <c r="AA34" i="41"/>
  <c r="AA75" i="40"/>
  <c r="AA92" i="40"/>
  <c r="AA105" i="40"/>
  <c r="AA127" i="40"/>
  <c r="AA90" i="40"/>
  <c r="AA91" i="40"/>
  <c r="AA58" i="40"/>
  <c r="AA68" i="40"/>
  <c r="AA99" i="40"/>
  <c r="AA100" i="40"/>
  <c r="AA75" i="13"/>
  <c r="AA25" i="13"/>
  <c r="AA79" i="13"/>
  <c r="AA80" i="13" s="1"/>
  <c r="AA63" i="13"/>
  <c r="AA64" i="13" s="1"/>
  <c r="AA14" i="13"/>
  <c r="AA26" i="13"/>
  <c r="AA65" i="13"/>
  <c r="AA66" i="13" s="1"/>
  <c r="AA81" i="12"/>
  <c r="AA28" i="12"/>
  <c r="AA99" i="12" s="1"/>
  <c r="Z55" i="31"/>
  <c r="Z57" i="31" s="1"/>
  <c r="Z63" i="31" s="1"/>
  <c r="Z34" i="31"/>
  <c r="Z39" i="31"/>
  <c r="Z42" i="31"/>
  <c r="Z68" i="41"/>
  <c r="Z58" i="41"/>
  <c r="Z100" i="41"/>
  <c r="Z99" i="41"/>
  <c r="Z123" i="41"/>
  <c r="Z126" i="41" s="1"/>
  <c r="Z72" i="41"/>
  <c r="Z88" i="41"/>
  <c r="Z79" i="13"/>
  <c r="Z80" i="13" s="1"/>
  <c r="Z75" i="13"/>
  <c r="Z25" i="13"/>
  <c r="Z65" i="13"/>
  <c r="Z66" i="13" s="1"/>
  <c r="Z26" i="13"/>
  <c r="Z63" i="13"/>
  <c r="Z64" i="13" s="1"/>
  <c r="Z14" i="13"/>
  <c r="X13" i="12"/>
  <c r="X7" i="13"/>
  <c r="X7" i="41"/>
  <c r="W8" i="41"/>
  <c r="W9" i="41"/>
  <c r="W10" i="41"/>
  <c r="W11" i="41"/>
  <c r="W12" i="41"/>
  <c r="W13" i="41"/>
  <c r="W14" i="41"/>
  <c r="W15" i="41"/>
  <c r="W23" i="41" s="1"/>
  <c r="W24" i="41" s="1"/>
  <c r="W34" i="41" s="1"/>
  <c r="W16" i="41"/>
  <c r="W17" i="41"/>
  <c r="W18" i="41"/>
  <c r="W19" i="41"/>
  <c r="W20" i="41"/>
  <c r="W21" i="41"/>
  <c r="W22" i="41"/>
  <c r="W25" i="41"/>
  <c r="W26" i="41"/>
  <c r="W27" i="41"/>
  <c r="W33" i="41" s="1"/>
  <c r="W28" i="41"/>
  <c r="W29" i="41"/>
  <c r="W30" i="41"/>
  <c r="W31" i="41"/>
  <c r="W32" i="41"/>
  <c r="W35" i="41"/>
  <c r="W36" i="41"/>
  <c r="W37" i="41"/>
  <c r="W38" i="41"/>
  <c r="W39" i="41"/>
  <c r="W40" i="41"/>
  <c r="W43" i="41" s="1"/>
  <c r="W41" i="41"/>
  <c r="W42" i="41"/>
  <c r="W45" i="41"/>
  <c r="W46" i="41"/>
  <c r="W47" i="41"/>
  <c r="W49" i="41" s="1"/>
  <c r="W48" i="41"/>
  <c r="W50" i="41"/>
  <c r="W51" i="41"/>
  <c r="W52" i="41"/>
  <c r="W53" i="41"/>
  <c r="W54" i="41"/>
  <c r="AC28" i="13" l="1"/>
  <c r="AC81" i="13"/>
  <c r="AC98" i="13"/>
  <c r="AC64" i="13"/>
  <c r="AC82" i="13"/>
  <c r="AB28" i="13"/>
  <c r="AB81" i="13"/>
  <c r="AB98" i="13"/>
  <c r="AB76" i="13"/>
  <c r="AB82" i="13"/>
  <c r="AB100" i="41"/>
  <c r="AB99" i="41"/>
  <c r="AB58" i="41"/>
  <c r="AB95" i="41"/>
  <c r="AB96" i="41"/>
  <c r="AB97" i="41"/>
  <c r="AB93" i="41"/>
  <c r="AB94" i="41"/>
  <c r="AB106" i="41"/>
  <c r="AB128" i="41"/>
  <c r="AB98" i="41" s="1"/>
  <c r="AB37" i="12"/>
  <c r="AB43" i="12" s="1"/>
  <c r="AB45" i="12" s="1"/>
  <c r="AB47" i="12" s="1"/>
  <c r="AB101" i="12"/>
  <c r="AB102" i="12"/>
  <c r="AB103" i="12"/>
  <c r="AB85" i="12"/>
  <c r="AB86" i="12" s="1"/>
  <c r="AB83" i="12"/>
  <c r="AA112" i="41"/>
  <c r="AA68" i="41"/>
  <c r="AA58" i="41"/>
  <c r="AA99" i="41"/>
  <c r="AA100" i="41"/>
  <c r="AA95" i="41"/>
  <c r="AA96" i="41"/>
  <c r="AA93" i="41"/>
  <c r="AA97" i="41"/>
  <c r="AA106" i="41"/>
  <c r="AA94" i="41"/>
  <c r="AA128" i="41"/>
  <c r="AA98" i="41" s="1"/>
  <c r="AA93" i="40"/>
  <c r="AA94" i="40"/>
  <c r="AA95" i="40"/>
  <c r="AA106" i="40"/>
  <c r="AA96" i="40"/>
  <c r="AA128" i="40"/>
  <c r="AA98" i="40" s="1"/>
  <c r="AA97" i="40"/>
  <c r="AA82" i="13"/>
  <c r="AA76" i="13"/>
  <c r="AA28" i="13"/>
  <c r="AA81" i="13"/>
  <c r="AA98" i="13"/>
  <c r="AA30" i="12"/>
  <c r="AA102" i="12" s="1"/>
  <c r="Z90" i="41"/>
  <c r="Z91" i="41"/>
  <c r="Z75" i="41"/>
  <c r="Z92" i="41"/>
  <c r="Z105" i="41"/>
  <c r="Z127" i="41"/>
  <c r="Z28" i="13"/>
  <c r="Z81" i="13"/>
  <c r="Z98" i="13"/>
  <c r="Z82" i="13"/>
  <c r="Z76" i="13"/>
  <c r="W44" i="41"/>
  <c r="AB30" i="13" l="1"/>
  <c r="AB99" i="13"/>
  <c r="AC30" i="13"/>
  <c r="AC99" i="13"/>
  <c r="AB84" i="12"/>
  <c r="AB88" i="12"/>
  <c r="AA30" i="13"/>
  <c r="AA99" i="13"/>
  <c r="AA85" i="12"/>
  <c r="AA86" i="12" s="1"/>
  <c r="AA101" i="12"/>
  <c r="AA83" i="12"/>
  <c r="AA84" i="12" s="1"/>
  <c r="AA37" i="12"/>
  <c r="AA43" i="12" s="1"/>
  <c r="AA45" i="12" s="1"/>
  <c r="AA47" i="12" s="1"/>
  <c r="AA103" i="12"/>
  <c r="Z95" i="41"/>
  <c r="Z106" i="41"/>
  <c r="Z96" i="41"/>
  <c r="Z97" i="41"/>
  <c r="Z94" i="41"/>
  <c r="Z93" i="41"/>
  <c r="Z128" i="41"/>
  <c r="Z98" i="41" s="1"/>
  <c r="Z30" i="13"/>
  <c r="Z99" i="13"/>
  <c r="W37" i="30"/>
  <c r="W14" i="30"/>
  <c r="W17" i="30"/>
  <c r="W33" i="30"/>
  <c r="W23" i="30"/>
  <c r="W27" i="30"/>
  <c r="W25" i="30"/>
  <c r="W8" i="30"/>
  <c r="W11" i="30"/>
  <c r="W42" i="12"/>
  <c r="W38" i="12"/>
  <c r="W41" i="12"/>
  <c r="W15" i="12"/>
  <c r="W35" i="12"/>
  <c r="W34" i="12"/>
  <c r="W23" i="12"/>
  <c r="W18" i="12"/>
  <c r="W19" i="12"/>
  <c r="W16" i="12"/>
  <c r="Z28" i="38"/>
  <c r="W63" i="40"/>
  <c r="W45" i="40"/>
  <c r="W56" i="40"/>
  <c r="W55" i="40"/>
  <c r="W54" i="40"/>
  <c r="W52" i="40"/>
  <c r="W40" i="40"/>
  <c r="W36" i="40"/>
  <c r="W38" i="40"/>
  <c r="W11" i="40"/>
  <c r="W9" i="40"/>
  <c r="W12" i="40"/>
  <c r="W10" i="40"/>
  <c r="W8" i="40"/>
  <c r="W16" i="40"/>
  <c r="W32" i="40"/>
  <c r="W28" i="40"/>
  <c r="AA27" i="38"/>
  <c r="AB27" i="38"/>
  <c r="AC103" i="13" l="1"/>
  <c r="AC37" i="13"/>
  <c r="AC43" i="13" s="1"/>
  <c r="AC45" i="13" s="1"/>
  <c r="AC47" i="13" s="1"/>
  <c r="AC101" i="13"/>
  <c r="AC102" i="13"/>
  <c r="AC85" i="13"/>
  <c r="AC86" i="13" s="1"/>
  <c r="AC83" i="13"/>
  <c r="AB103" i="13"/>
  <c r="AB37" i="13"/>
  <c r="AB43" i="13" s="1"/>
  <c r="AB45" i="13" s="1"/>
  <c r="AB47" i="13" s="1"/>
  <c r="AB101" i="13"/>
  <c r="AB102" i="13"/>
  <c r="AB83" i="13"/>
  <c r="AB85" i="13"/>
  <c r="AB86" i="13" s="1"/>
  <c r="AA101" i="13"/>
  <c r="AA102" i="13"/>
  <c r="AA103" i="13"/>
  <c r="AA37" i="13"/>
  <c r="AA43" i="13" s="1"/>
  <c r="AA45" i="13" s="1"/>
  <c r="AA47" i="13" s="1"/>
  <c r="AA85" i="13"/>
  <c r="AA86" i="13" s="1"/>
  <c r="AA83" i="13"/>
  <c r="AA88" i="12"/>
  <c r="Z37" i="13"/>
  <c r="Z43" i="13" s="1"/>
  <c r="Z45" i="13" s="1"/>
  <c r="Z47" i="13" s="1"/>
  <c r="Z101" i="13"/>
  <c r="Z102" i="13"/>
  <c r="Z103" i="13"/>
  <c r="Z83" i="13"/>
  <c r="Z85" i="13"/>
  <c r="Z86" i="13" s="1"/>
  <c r="U37" i="30"/>
  <c r="T37" i="30"/>
  <c r="S37" i="30"/>
  <c r="V14" i="30"/>
  <c r="V17" i="30"/>
  <c r="V24" i="30"/>
  <c r="V27" i="30"/>
  <c r="V25" i="30"/>
  <c r="V8" i="30"/>
  <c r="V11" i="30"/>
  <c r="V42" i="12"/>
  <c r="V38" i="12"/>
  <c r="V23" i="12"/>
  <c r="V18" i="12"/>
  <c r="V19" i="12"/>
  <c r="H7" i="4"/>
  <c r="I7" i="4"/>
  <c r="J7" i="4"/>
  <c r="K7" i="4"/>
  <c r="L11" i="4"/>
  <c r="V64" i="40"/>
  <c r="V63" i="40"/>
  <c r="V52" i="40"/>
  <c r="V45" i="40"/>
  <c r="V36" i="40"/>
  <c r="V40" i="40"/>
  <c r="V16" i="40"/>
  <c r="V28" i="40"/>
  <c r="D61" i="17"/>
  <c r="E61" i="17"/>
  <c r="F61" i="17"/>
  <c r="G61" i="17"/>
  <c r="H61" i="17"/>
  <c r="C61" i="17"/>
  <c r="M32" i="17"/>
  <c r="M34" i="17"/>
  <c r="M45" i="17"/>
  <c r="N45" i="17"/>
  <c r="V2" i="37"/>
  <c r="W2" i="37"/>
  <c r="X2" i="37"/>
  <c r="Y2" i="37"/>
  <c r="V3" i="37"/>
  <c r="W3" i="37"/>
  <c r="X3" i="37"/>
  <c r="Y3" i="37"/>
  <c r="V5" i="37"/>
  <c r="W5" i="37"/>
  <c r="X5" i="37"/>
  <c r="Y5" i="37"/>
  <c r="V6" i="37"/>
  <c r="W6" i="37"/>
  <c r="X6" i="37"/>
  <c r="Y6" i="37"/>
  <c r="V7" i="37"/>
  <c r="W7" i="37"/>
  <c r="X7" i="37"/>
  <c r="Y7" i="37"/>
  <c r="V21" i="37"/>
  <c r="W21" i="37"/>
  <c r="W22" i="37" s="1"/>
  <c r="V22" i="37"/>
  <c r="V27" i="37"/>
  <c r="W27" i="37"/>
  <c r="W67" i="37" s="1"/>
  <c r="W68" i="37" s="1"/>
  <c r="V28" i="37"/>
  <c r="V61" i="37"/>
  <c r="V62" i="37" s="1"/>
  <c r="V67" i="37"/>
  <c r="V68" i="37" s="1"/>
  <c r="V2" i="36"/>
  <c r="W2" i="36"/>
  <c r="X2" i="36"/>
  <c r="Y2" i="36"/>
  <c r="V3" i="36"/>
  <c r="W3" i="36"/>
  <c r="X3" i="36"/>
  <c r="Y3" i="36"/>
  <c r="V5" i="36"/>
  <c r="W5" i="36"/>
  <c r="X5" i="36"/>
  <c r="Y5" i="36"/>
  <c r="V9" i="36"/>
  <c r="V49" i="36" s="1"/>
  <c r="V50" i="36" s="1"/>
  <c r="W9" i="36"/>
  <c r="X9" i="36"/>
  <c r="X10" i="36" s="1"/>
  <c r="V10" i="36"/>
  <c r="W10" i="36"/>
  <c r="V11" i="36"/>
  <c r="W11" i="36"/>
  <c r="W12" i="36" s="1"/>
  <c r="X11" i="36"/>
  <c r="X12" i="36" s="1"/>
  <c r="V12" i="36"/>
  <c r="V13" i="36"/>
  <c r="W13" i="36"/>
  <c r="X13" i="36"/>
  <c r="X14" i="36" s="1"/>
  <c r="V14" i="36"/>
  <c r="W14" i="36"/>
  <c r="V15" i="36"/>
  <c r="V55" i="36" s="1"/>
  <c r="V56" i="36" s="1"/>
  <c r="W15" i="36"/>
  <c r="W16" i="36" s="1"/>
  <c r="X15" i="36"/>
  <c r="V16" i="36"/>
  <c r="X16" i="36"/>
  <c r="V17" i="36"/>
  <c r="W17" i="36"/>
  <c r="W57" i="36" s="1"/>
  <c r="W58" i="36" s="1"/>
  <c r="X17" i="36"/>
  <c r="X18" i="36" s="1"/>
  <c r="V18" i="36"/>
  <c r="V21" i="36"/>
  <c r="W21" i="36"/>
  <c r="X21" i="36"/>
  <c r="X22" i="36" s="1"/>
  <c r="Y21" i="36"/>
  <c r="V22" i="36"/>
  <c r="W22" i="36"/>
  <c r="Y22" i="36"/>
  <c r="V23" i="36"/>
  <c r="W23" i="36"/>
  <c r="X23" i="36"/>
  <c r="V24" i="36"/>
  <c r="W24" i="36"/>
  <c r="X24" i="36"/>
  <c r="V25" i="36"/>
  <c r="W25" i="36"/>
  <c r="X25" i="36"/>
  <c r="X65" i="36" s="1"/>
  <c r="X66" i="36" s="1"/>
  <c r="V26" i="36"/>
  <c r="W26" i="36"/>
  <c r="X26" i="36"/>
  <c r="V27" i="36"/>
  <c r="W27" i="36"/>
  <c r="X27" i="36"/>
  <c r="Y27" i="36"/>
  <c r="V28" i="36"/>
  <c r="W28" i="36"/>
  <c r="X28" i="36"/>
  <c r="Y28" i="36"/>
  <c r="V29" i="36"/>
  <c r="V69" i="36" s="1"/>
  <c r="V70" i="36" s="1"/>
  <c r="W29" i="36"/>
  <c r="W30" i="36" s="1"/>
  <c r="X29" i="36"/>
  <c r="X69" i="36" s="1"/>
  <c r="X70" i="36" s="1"/>
  <c r="V30" i="36"/>
  <c r="W49" i="36"/>
  <c r="W50" i="36" s="1"/>
  <c r="V51" i="36"/>
  <c r="V52" i="36" s="1"/>
  <c r="W51" i="36"/>
  <c r="W52" i="36" s="1"/>
  <c r="X51" i="36"/>
  <c r="X52" i="36" s="1"/>
  <c r="V53" i="36"/>
  <c r="V54" i="36" s="1"/>
  <c r="W53" i="36"/>
  <c r="W54" i="36" s="1"/>
  <c r="X55" i="36"/>
  <c r="X56" i="36" s="1"/>
  <c r="V57" i="36"/>
  <c r="V58" i="36"/>
  <c r="V61" i="36"/>
  <c r="W61" i="36"/>
  <c r="X61" i="36"/>
  <c r="Y61" i="36"/>
  <c r="Y62" i="36" s="1"/>
  <c r="V62" i="36"/>
  <c r="W62" i="36"/>
  <c r="X62" i="36"/>
  <c r="V63" i="36"/>
  <c r="V64" i="36" s="1"/>
  <c r="W63" i="36"/>
  <c r="W64" i="36" s="1"/>
  <c r="X63" i="36"/>
  <c r="X64" i="36" s="1"/>
  <c r="V65" i="36"/>
  <c r="W65" i="36"/>
  <c r="W66" i="36" s="1"/>
  <c r="V66" i="36"/>
  <c r="V67" i="36"/>
  <c r="W67" i="36"/>
  <c r="W68" i="36" s="1"/>
  <c r="X67" i="36"/>
  <c r="X68" i="36" s="1"/>
  <c r="V68" i="36"/>
  <c r="L3" i="26"/>
  <c r="L5" i="26"/>
  <c r="L6" i="26"/>
  <c r="L7" i="26"/>
  <c r="I36" i="25"/>
  <c r="J36" i="25"/>
  <c r="K36" i="25"/>
  <c r="I37" i="25"/>
  <c r="J37" i="25"/>
  <c r="K37" i="25"/>
  <c r="I38" i="25"/>
  <c r="J38" i="25"/>
  <c r="J47" i="25" s="1"/>
  <c r="K38" i="25"/>
  <c r="I39" i="25"/>
  <c r="J39" i="25"/>
  <c r="K39" i="25"/>
  <c r="I40" i="25"/>
  <c r="J40" i="25"/>
  <c r="K40" i="25"/>
  <c r="I41" i="25"/>
  <c r="I47" i="25" s="1"/>
  <c r="J41" i="25"/>
  <c r="K41" i="25"/>
  <c r="I42" i="25"/>
  <c r="J42" i="25"/>
  <c r="K42" i="25"/>
  <c r="I43" i="25"/>
  <c r="J43" i="25"/>
  <c r="K43" i="25"/>
  <c r="I44" i="25"/>
  <c r="J44" i="25"/>
  <c r="K44" i="25"/>
  <c r="I45" i="25"/>
  <c r="J45" i="25"/>
  <c r="K45" i="25"/>
  <c r="I46" i="25"/>
  <c r="J46" i="25"/>
  <c r="K46" i="25"/>
  <c r="K47" i="25"/>
  <c r="I9" i="25"/>
  <c r="J9" i="25"/>
  <c r="K9" i="25"/>
  <c r="L9" i="25"/>
  <c r="L10" i="25" s="1"/>
  <c r="I10" i="25"/>
  <c r="J10" i="25"/>
  <c r="K10" i="25"/>
  <c r="I11" i="25"/>
  <c r="J11" i="25"/>
  <c r="J12" i="25" s="1"/>
  <c r="K11" i="25"/>
  <c r="L11" i="25"/>
  <c r="L12" i="25" s="1"/>
  <c r="I12" i="25"/>
  <c r="I13" i="25"/>
  <c r="J13" i="25"/>
  <c r="J14" i="25" s="1"/>
  <c r="K13" i="25"/>
  <c r="L13" i="25"/>
  <c r="L14" i="25" s="1"/>
  <c r="I14" i="25"/>
  <c r="K14" i="25"/>
  <c r="I15" i="25"/>
  <c r="J15" i="25"/>
  <c r="J16" i="25" s="1"/>
  <c r="K15" i="25"/>
  <c r="L15" i="25"/>
  <c r="L16" i="25" s="1"/>
  <c r="I16" i="25"/>
  <c r="I17" i="25"/>
  <c r="J17" i="25"/>
  <c r="J18" i="25" s="1"/>
  <c r="K17" i="25"/>
  <c r="L17" i="25"/>
  <c r="L18" i="25" s="1"/>
  <c r="I18" i="25"/>
  <c r="K18" i="25"/>
  <c r="I19" i="25"/>
  <c r="J19" i="25"/>
  <c r="J20" i="25" s="1"/>
  <c r="K19" i="25"/>
  <c r="I20" i="25"/>
  <c r="I21" i="25"/>
  <c r="J21" i="25"/>
  <c r="J22" i="25" s="1"/>
  <c r="K21" i="25"/>
  <c r="L21" i="25"/>
  <c r="L22" i="25" s="1"/>
  <c r="I22" i="25"/>
  <c r="K22" i="25"/>
  <c r="I23" i="25"/>
  <c r="J23" i="25"/>
  <c r="J24" i="25" s="1"/>
  <c r="K23" i="25"/>
  <c r="L23" i="25"/>
  <c r="L24" i="25" s="1"/>
  <c r="I24" i="25"/>
  <c r="I25" i="25"/>
  <c r="J25" i="25"/>
  <c r="J26" i="25" s="1"/>
  <c r="K25" i="25"/>
  <c r="L25" i="25"/>
  <c r="L26" i="25" s="1"/>
  <c r="I26" i="25"/>
  <c r="K26" i="25"/>
  <c r="I27" i="25"/>
  <c r="J27" i="25"/>
  <c r="J28" i="25" s="1"/>
  <c r="K27" i="25"/>
  <c r="L27" i="25"/>
  <c r="L28" i="25" s="1"/>
  <c r="I28" i="25"/>
  <c r="I29" i="25"/>
  <c r="J29" i="25"/>
  <c r="J30" i="25" s="1"/>
  <c r="K29" i="25"/>
  <c r="L29" i="25"/>
  <c r="L30" i="25" s="1"/>
  <c r="I30" i="25"/>
  <c r="K30" i="25"/>
  <c r="I31" i="25"/>
  <c r="J31" i="25"/>
  <c r="J32" i="25" s="1"/>
  <c r="K31" i="25"/>
  <c r="I32" i="25"/>
  <c r="I33" i="25"/>
  <c r="K33" i="25"/>
  <c r="I34" i="25"/>
  <c r="L3" i="25"/>
  <c r="L5" i="25"/>
  <c r="L51" i="25"/>
  <c r="L55" i="25"/>
  <c r="L63" i="25"/>
  <c r="L67" i="25"/>
  <c r="V2" i="35"/>
  <c r="W2" i="35"/>
  <c r="X2" i="35"/>
  <c r="Y2" i="35"/>
  <c r="V3" i="35"/>
  <c r="W3" i="35"/>
  <c r="X3" i="35"/>
  <c r="Y3" i="35"/>
  <c r="V5" i="35"/>
  <c r="W5" i="35"/>
  <c r="X5" i="35"/>
  <c r="Y5" i="35"/>
  <c r="V6" i="35"/>
  <c r="W6" i="35"/>
  <c r="X6" i="35"/>
  <c r="Y6" i="35"/>
  <c r="V7" i="35"/>
  <c r="W7" i="35"/>
  <c r="X7" i="35"/>
  <c r="Y7" i="35"/>
  <c r="V11" i="35"/>
  <c r="W13" i="35"/>
  <c r="V30" i="35"/>
  <c r="W30" i="35"/>
  <c r="X30" i="35"/>
  <c r="Y30" i="35"/>
  <c r="V43" i="35"/>
  <c r="W43" i="35"/>
  <c r="X43" i="35"/>
  <c r="Y43" i="35"/>
  <c r="V80" i="35"/>
  <c r="W80" i="35"/>
  <c r="X80" i="35"/>
  <c r="X85" i="35" s="1"/>
  <c r="Y80" i="35"/>
  <c r="V81" i="35"/>
  <c r="W81" i="35"/>
  <c r="X81" i="35"/>
  <c r="Y81" i="35"/>
  <c r="V82" i="35"/>
  <c r="W82" i="35"/>
  <c r="X82" i="35"/>
  <c r="Y82" i="35"/>
  <c r="V83" i="35"/>
  <c r="W83" i="35"/>
  <c r="X83" i="35"/>
  <c r="X90" i="35" s="1"/>
  <c r="Y83" i="35"/>
  <c r="V84" i="35"/>
  <c r="W84" i="35"/>
  <c r="X84" i="35"/>
  <c r="Y84" i="35"/>
  <c r="V85" i="35"/>
  <c r="W85" i="35"/>
  <c r="V87" i="35"/>
  <c r="W87" i="35"/>
  <c r="V88" i="35"/>
  <c r="W88" i="35"/>
  <c r="V89" i="35"/>
  <c r="W89" i="35"/>
  <c r="V90" i="35"/>
  <c r="W90" i="35"/>
  <c r="V91" i="35"/>
  <c r="W91" i="35"/>
  <c r="V92" i="35"/>
  <c r="W92" i="35"/>
  <c r="V2" i="34"/>
  <c r="W2" i="34"/>
  <c r="X2" i="34"/>
  <c r="Y2" i="34"/>
  <c r="V3" i="34"/>
  <c r="W3" i="34"/>
  <c r="X3" i="34"/>
  <c r="Y3" i="34"/>
  <c r="V5" i="34"/>
  <c r="W5" i="34"/>
  <c r="X5" i="34"/>
  <c r="Y5" i="34"/>
  <c r="V9" i="34"/>
  <c r="W9" i="34"/>
  <c r="X9" i="34"/>
  <c r="Y9" i="34"/>
  <c r="Y29" i="34" s="1"/>
  <c r="V11" i="34"/>
  <c r="W11" i="34"/>
  <c r="X11" i="34"/>
  <c r="Y11" i="34"/>
  <c r="V13" i="34"/>
  <c r="W13" i="34"/>
  <c r="W46" i="34" s="1"/>
  <c r="X13" i="34"/>
  <c r="X33" i="34" s="1"/>
  <c r="Y13" i="34"/>
  <c r="Y33" i="34" s="1"/>
  <c r="V15" i="34"/>
  <c r="W15" i="34"/>
  <c r="X15" i="34"/>
  <c r="Y15" i="34"/>
  <c r="V17" i="34"/>
  <c r="W17" i="34"/>
  <c r="W50" i="34" s="1"/>
  <c r="X19" i="34"/>
  <c r="X22" i="34" s="1"/>
  <c r="V29" i="34"/>
  <c r="W29" i="34"/>
  <c r="X29" i="34"/>
  <c r="V31" i="34"/>
  <c r="W31" i="34"/>
  <c r="X31" i="34"/>
  <c r="Y31" i="34"/>
  <c r="V33" i="34"/>
  <c r="V35" i="34"/>
  <c r="W35" i="34"/>
  <c r="X35" i="34"/>
  <c r="Y35" i="34"/>
  <c r="V37" i="34"/>
  <c r="V42" i="34"/>
  <c r="X42" i="34"/>
  <c r="V44" i="34"/>
  <c r="W44" i="34"/>
  <c r="X44" i="34"/>
  <c r="Y44" i="34"/>
  <c r="V46" i="34"/>
  <c r="X46" i="34"/>
  <c r="V48" i="34"/>
  <c r="W48" i="34"/>
  <c r="X48" i="34"/>
  <c r="Y48" i="34"/>
  <c r="V50" i="34"/>
  <c r="V55" i="34"/>
  <c r="X55" i="34"/>
  <c r="X56" i="34" s="1"/>
  <c r="Y55" i="34"/>
  <c r="Y56" i="34" s="1"/>
  <c r="V56" i="34"/>
  <c r="V58" i="34"/>
  <c r="W58" i="34"/>
  <c r="X58" i="34"/>
  <c r="V60" i="34"/>
  <c r="Y60" i="34"/>
  <c r="V62" i="34"/>
  <c r="W62" i="34"/>
  <c r="X62" i="34"/>
  <c r="Y62" i="34"/>
  <c r="V64" i="34"/>
  <c r="V69" i="34"/>
  <c r="X69" i="34"/>
  <c r="V71" i="34"/>
  <c r="Y71" i="34"/>
  <c r="V73" i="34"/>
  <c r="W73" i="34"/>
  <c r="X73" i="34"/>
  <c r="Y73" i="34"/>
  <c r="V75" i="34"/>
  <c r="V88" i="34"/>
  <c r="W88" i="34"/>
  <c r="X88" i="34"/>
  <c r="Y88" i="34"/>
  <c r="V89" i="34"/>
  <c r="W89" i="34"/>
  <c r="X89" i="34"/>
  <c r="Y89" i="34"/>
  <c r="V90" i="34"/>
  <c r="W90" i="34"/>
  <c r="X90" i="34"/>
  <c r="Y90" i="34"/>
  <c r="V91" i="34"/>
  <c r="W91" i="34"/>
  <c r="X91" i="34"/>
  <c r="Y91" i="34"/>
  <c r="V92" i="34"/>
  <c r="W92" i="34"/>
  <c r="X92" i="34"/>
  <c r="Y92" i="34"/>
  <c r="V93" i="34"/>
  <c r="W93" i="34"/>
  <c r="X93" i="34"/>
  <c r="Y93" i="34"/>
  <c r="J42" i="8"/>
  <c r="K42" i="8"/>
  <c r="J43" i="8"/>
  <c r="K43" i="8"/>
  <c r="J44" i="8"/>
  <c r="K45" i="8" s="1"/>
  <c r="K44" i="8"/>
  <c r="J45" i="8"/>
  <c r="J46" i="8"/>
  <c r="K47" i="8" s="1"/>
  <c r="K46" i="8"/>
  <c r="J47" i="8"/>
  <c r="J48" i="8"/>
  <c r="K49" i="8" s="1"/>
  <c r="K48" i="8"/>
  <c r="J49" i="8"/>
  <c r="J50" i="8"/>
  <c r="K51" i="8" s="1"/>
  <c r="K50" i="8"/>
  <c r="J51" i="8"/>
  <c r="J52" i="8"/>
  <c r="K53" i="8" s="1"/>
  <c r="K52" i="8"/>
  <c r="J53" i="8"/>
  <c r="J55" i="8"/>
  <c r="K56" i="8" s="1"/>
  <c r="K55" i="8"/>
  <c r="J56" i="8"/>
  <c r="J58" i="8"/>
  <c r="K59" i="8" s="1"/>
  <c r="K58" i="8"/>
  <c r="J59" i="8"/>
  <c r="J60" i="8"/>
  <c r="K61" i="8" s="1"/>
  <c r="K60" i="8"/>
  <c r="J61" i="8"/>
  <c r="J62" i="8"/>
  <c r="K63" i="8" s="1"/>
  <c r="K62" i="8"/>
  <c r="J63" i="8"/>
  <c r="J64" i="8"/>
  <c r="K65" i="8" s="1"/>
  <c r="K64" i="8"/>
  <c r="J65" i="8"/>
  <c r="J66" i="8"/>
  <c r="K67" i="8" s="1"/>
  <c r="K66" i="8"/>
  <c r="J67" i="8"/>
  <c r="J9" i="8"/>
  <c r="K10" i="8" s="1"/>
  <c r="K9" i="8"/>
  <c r="J10" i="8"/>
  <c r="J11" i="8"/>
  <c r="K12" i="8" s="1"/>
  <c r="K11" i="8"/>
  <c r="J12" i="8"/>
  <c r="J13" i="8"/>
  <c r="K14" i="8" s="1"/>
  <c r="K13" i="8"/>
  <c r="J14" i="8"/>
  <c r="J15" i="8"/>
  <c r="K16" i="8" s="1"/>
  <c r="K15" i="8"/>
  <c r="J16" i="8"/>
  <c r="J17" i="8"/>
  <c r="K18" i="8" s="1"/>
  <c r="K17" i="8"/>
  <c r="J18" i="8"/>
  <c r="J19" i="8"/>
  <c r="K20" i="8" s="1"/>
  <c r="K19" i="8"/>
  <c r="J20" i="8"/>
  <c r="J22" i="8"/>
  <c r="K22" i="8"/>
  <c r="J23" i="8"/>
  <c r="K23" i="8"/>
  <c r="J24" i="8"/>
  <c r="K24" i="8"/>
  <c r="J25" i="8"/>
  <c r="K25" i="8"/>
  <c r="J26" i="8"/>
  <c r="K26" i="8"/>
  <c r="J27" i="8"/>
  <c r="K27" i="8"/>
  <c r="J29" i="8"/>
  <c r="K30" i="8" s="1"/>
  <c r="K29" i="8"/>
  <c r="J30" i="8"/>
  <c r="J31" i="8"/>
  <c r="K32" i="8" s="1"/>
  <c r="K31" i="8"/>
  <c r="J32" i="8"/>
  <c r="J33" i="8"/>
  <c r="K34" i="8" s="1"/>
  <c r="K33" i="8"/>
  <c r="J34" i="8"/>
  <c r="J35" i="8"/>
  <c r="K36" i="8" s="1"/>
  <c r="K35" i="8"/>
  <c r="J36" i="8"/>
  <c r="J37" i="8"/>
  <c r="K38" i="8" s="1"/>
  <c r="K37" i="8"/>
  <c r="J38" i="8"/>
  <c r="J39" i="8"/>
  <c r="K40" i="8" s="1"/>
  <c r="K39" i="8"/>
  <c r="J40" i="8"/>
  <c r="L3" i="8"/>
  <c r="L5" i="8"/>
  <c r="L6" i="8"/>
  <c r="I58" i="24"/>
  <c r="I59" i="24" s="1"/>
  <c r="J58" i="24"/>
  <c r="K58" i="24"/>
  <c r="L58" i="24"/>
  <c r="L59" i="24" s="1"/>
  <c r="J59" i="24"/>
  <c r="K59" i="24"/>
  <c r="I60" i="24"/>
  <c r="J60" i="24"/>
  <c r="J61" i="24" s="1"/>
  <c r="K60" i="24"/>
  <c r="K61" i="24" s="1"/>
  <c r="L60" i="24"/>
  <c r="L61" i="24" s="1"/>
  <c r="I61" i="24"/>
  <c r="I62" i="24"/>
  <c r="I63" i="24" s="1"/>
  <c r="J62" i="24"/>
  <c r="K62" i="24"/>
  <c r="J63" i="24"/>
  <c r="K63" i="24"/>
  <c r="I64" i="24"/>
  <c r="J64" i="24"/>
  <c r="J65" i="24" s="1"/>
  <c r="K64" i="24"/>
  <c r="K65" i="24" s="1"/>
  <c r="I65" i="24"/>
  <c r="I66" i="24"/>
  <c r="I67" i="24" s="1"/>
  <c r="J66" i="24"/>
  <c r="K66" i="24"/>
  <c r="J67" i="24"/>
  <c r="K67" i="24"/>
  <c r="I69" i="24"/>
  <c r="J69" i="24"/>
  <c r="J70" i="24" s="1"/>
  <c r="K69" i="24"/>
  <c r="K70" i="24" s="1"/>
  <c r="I70" i="24"/>
  <c r="I71" i="24"/>
  <c r="I72" i="24" s="1"/>
  <c r="J71" i="24"/>
  <c r="K71" i="24"/>
  <c r="L71" i="24"/>
  <c r="L72" i="24" s="1"/>
  <c r="J72" i="24"/>
  <c r="K72" i="24"/>
  <c r="I73" i="24"/>
  <c r="J73" i="24"/>
  <c r="J74" i="24" s="1"/>
  <c r="K73" i="24"/>
  <c r="K74" i="24" s="1"/>
  <c r="I74" i="24"/>
  <c r="I75" i="24"/>
  <c r="I76" i="24" s="1"/>
  <c r="J75" i="24"/>
  <c r="K75" i="24"/>
  <c r="J76" i="24"/>
  <c r="K76" i="24"/>
  <c r="I77" i="24"/>
  <c r="J77" i="24"/>
  <c r="J78" i="24" s="1"/>
  <c r="K77" i="24"/>
  <c r="K78" i="24" s="1"/>
  <c r="I78" i="24"/>
  <c r="I42" i="24"/>
  <c r="I43" i="24" s="1"/>
  <c r="J42" i="24"/>
  <c r="K42" i="24"/>
  <c r="L42" i="24"/>
  <c r="L43" i="24" s="1"/>
  <c r="K43" i="24"/>
  <c r="I44" i="24"/>
  <c r="J44" i="24"/>
  <c r="J45" i="24" s="1"/>
  <c r="K44" i="24"/>
  <c r="K45" i="24" s="1"/>
  <c r="L44" i="24"/>
  <c r="L45" i="24" s="1"/>
  <c r="I45" i="24"/>
  <c r="I46" i="24"/>
  <c r="I47" i="24" s="1"/>
  <c r="J46" i="24"/>
  <c r="J47" i="24" s="1"/>
  <c r="K46" i="24"/>
  <c r="K47" i="24"/>
  <c r="I48" i="24"/>
  <c r="J48" i="24"/>
  <c r="J49" i="24" s="1"/>
  <c r="K48" i="24"/>
  <c r="K49" i="24" s="1"/>
  <c r="I49" i="24"/>
  <c r="I50" i="24"/>
  <c r="I51" i="24" s="1"/>
  <c r="J50" i="24"/>
  <c r="J51" i="24" s="1"/>
  <c r="K50" i="24"/>
  <c r="K51" i="24"/>
  <c r="I52" i="24"/>
  <c r="J52" i="24"/>
  <c r="J53" i="24" s="1"/>
  <c r="K52" i="24"/>
  <c r="K53" i="24" s="1"/>
  <c r="I53" i="24"/>
  <c r="I55" i="24"/>
  <c r="I56" i="24" s="1"/>
  <c r="J55" i="24"/>
  <c r="K55" i="24"/>
  <c r="K56" i="24"/>
  <c r="I9" i="24"/>
  <c r="J9" i="24"/>
  <c r="K9" i="24"/>
  <c r="L9" i="24"/>
  <c r="L10" i="24" s="1"/>
  <c r="I10" i="24"/>
  <c r="J10" i="24"/>
  <c r="K10" i="24"/>
  <c r="I11" i="24"/>
  <c r="J11" i="24"/>
  <c r="J12" i="24" s="1"/>
  <c r="K11" i="24"/>
  <c r="L11" i="24"/>
  <c r="L12" i="24" s="1"/>
  <c r="I12" i="24"/>
  <c r="I13" i="24"/>
  <c r="J13" i="24"/>
  <c r="J14" i="24" s="1"/>
  <c r="K13" i="24"/>
  <c r="L13" i="24"/>
  <c r="L14" i="24" s="1"/>
  <c r="I14" i="24"/>
  <c r="K14" i="24"/>
  <c r="I15" i="24"/>
  <c r="J15" i="24"/>
  <c r="J16" i="24" s="1"/>
  <c r="K15" i="24"/>
  <c r="L15" i="24"/>
  <c r="L16" i="24" s="1"/>
  <c r="I16" i="24"/>
  <c r="I17" i="24"/>
  <c r="J17" i="24"/>
  <c r="J18" i="24" s="1"/>
  <c r="K17" i="24"/>
  <c r="I18" i="24"/>
  <c r="K18" i="24"/>
  <c r="I19" i="24"/>
  <c r="J19" i="24"/>
  <c r="J20" i="24" s="1"/>
  <c r="K19" i="24"/>
  <c r="I20" i="24"/>
  <c r="I22" i="24"/>
  <c r="K22" i="24"/>
  <c r="I23" i="24"/>
  <c r="K23" i="24"/>
  <c r="I24" i="24"/>
  <c r="J24" i="24"/>
  <c r="K24" i="24"/>
  <c r="I25" i="24"/>
  <c r="I27" i="24" s="1"/>
  <c r="K25" i="24"/>
  <c r="I26" i="24"/>
  <c r="K26" i="24"/>
  <c r="K27" i="24"/>
  <c r="I29" i="24"/>
  <c r="J29" i="24"/>
  <c r="J30" i="24" s="1"/>
  <c r="K29" i="24"/>
  <c r="I30" i="24"/>
  <c r="I31" i="24"/>
  <c r="K31" i="24"/>
  <c r="L31" i="24"/>
  <c r="L32" i="24" s="1"/>
  <c r="I32" i="24"/>
  <c r="I33" i="24"/>
  <c r="J33" i="24"/>
  <c r="J34" i="24" s="1"/>
  <c r="K33" i="24"/>
  <c r="I34" i="24"/>
  <c r="I35" i="24"/>
  <c r="K35" i="24"/>
  <c r="I36" i="24"/>
  <c r="I37" i="24"/>
  <c r="J37" i="24"/>
  <c r="J38" i="24" s="1"/>
  <c r="K37" i="24"/>
  <c r="I38" i="24"/>
  <c r="I39" i="24"/>
  <c r="K39" i="24"/>
  <c r="I40" i="24"/>
  <c r="L3" i="24"/>
  <c r="L5" i="24"/>
  <c r="L86" i="24"/>
  <c r="L89" i="24" s="1"/>
  <c r="L88" i="24"/>
  <c r="L93" i="24" s="1"/>
  <c r="L90" i="24"/>
  <c r="L91" i="24"/>
  <c r="L92" i="24"/>
  <c r="V2" i="31"/>
  <c r="W2" i="31"/>
  <c r="X2" i="31"/>
  <c r="Y2" i="31"/>
  <c r="V3" i="31"/>
  <c r="W3" i="31"/>
  <c r="X3" i="31"/>
  <c r="Y3" i="31"/>
  <c r="V5" i="31"/>
  <c r="W5" i="31"/>
  <c r="X5" i="31"/>
  <c r="Y5" i="31"/>
  <c r="V6" i="31"/>
  <c r="W6" i="31"/>
  <c r="X6" i="31"/>
  <c r="Y6" i="31"/>
  <c r="V7" i="31"/>
  <c r="W7" i="31"/>
  <c r="X7" i="31"/>
  <c r="Y7" i="31"/>
  <c r="V8" i="31"/>
  <c r="W8" i="31"/>
  <c r="X8" i="31"/>
  <c r="Y8" i="31"/>
  <c r="V9" i="31"/>
  <c r="W9" i="31"/>
  <c r="X9" i="31"/>
  <c r="X12" i="31" s="1"/>
  <c r="Y9" i="31"/>
  <c r="V10" i="31"/>
  <c r="W10" i="31"/>
  <c r="X10" i="31"/>
  <c r="Y10" i="31"/>
  <c r="V11" i="31"/>
  <c r="W11" i="31"/>
  <c r="X11" i="31"/>
  <c r="Y11" i="31"/>
  <c r="V12" i="31"/>
  <c r="V13" i="31"/>
  <c r="V14" i="31"/>
  <c r="W14" i="31"/>
  <c r="X14" i="31"/>
  <c r="Y14" i="31"/>
  <c r="V15" i="31"/>
  <c r="W15" i="31"/>
  <c r="X15" i="31"/>
  <c r="Y15" i="31"/>
  <c r="V16" i="31"/>
  <c r="W16" i="31"/>
  <c r="X16" i="31"/>
  <c r="Y16" i="31"/>
  <c r="V17" i="31"/>
  <c r="W17" i="31"/>
  <c r="X17" i="31"/>
  <c r="Y17" i="31"/>
  <c r="V18" i="31"/>
  <c r="W18" i="31"/>
  <c r="X18" i="31"/>
  <c r="Y18" i="31"/>
  <c r="V19" i="31"/>
  <c r="W19" i="31"/>
  <c r="X19" i="31"/>
  <c r="Y19" i="31"/>
  <c r="V20" i="31"/>
  <c r="W20" i="31"/>
  <c r="X20" i="31"/>
  <c r="Y20" i="31"/>
  <c r="V21" i="31"/>
  <c r="W21" i="31"/>
  <c r="X21" i="31"/>
  <c r="Y21" i="31"/>
  <c r="V22" i="31"/>
  <c r="W22" i="31"/>
  <c r="V23" i="31"/>
  <c r="W23" i="31"/>
  <c r="X23" i="31"/>
  <c r="Y23" i="31"/>
  <c r="V24" i="31"/>
  <c r="W24" i="31"/>
  <c r="X24" i="31"/>
  <c r="Y24" i="31"/>
  <c r="V25" i="31"/>
  <c r="W25" i="31"/>
  <c r="X25" i="31"/>
  <c r="Y25" i="31"/>
  <c r="V26" i="31"/>
  <c r="W26" i="31"/>
  <c r="X26" i="31"/>
  <c r="Y26" i="31"/>
  <c r="V27" i="31"/>
  <c r="V61" i="31" s="1"/>
  <c r="W27" i="31"/>
  <c r="X27" i="31"/>
  <c r="X61" i="31" s="1"/>
  <c r="Y27" i="31"/>
  <c r="V28" i="31"/>
  <c r="W28" i="31"/>
  <c r="X28" i="31"/>
  <c r="Y28" i="31"/>
  <c r="V29" i="31"/>
  <c r="W29" i="31"/>
  <c r="X29" i="31"/>
  <c r="Y29" i="31"/>
  <c r="V30" i="31"/>
  <c r="W30" i="31"/>
  <c r="X30" i="31"/>
  <c r="Y30" i="31"/>
  <c r="V31" i="31"/>
  <c r="W31" i="31"/>
  <c r="X31" i="31"/>
  <c r="Y31" i="31"/>
  <c r="V32" i="31"/>
  <c r="W32" i="31"/>
  <c r="X32" i="31"/>
  <c r="Y32" i="31"/>
  <c r="V33" i="31"/>
  <c r="W33" i="31"/>
  <c r="X33" i="31"/>
  <c r="V34" i="31"/>
  <c r="V35" i="31"/>
  <c r="W35" i="31"/>
  <c r="X35" i="31"/>
  <c r="Y35" i="31"/>
  <c r="V39" i="31"/>
  <c r="V42" i="31"/>
  <c r="V43" i="31"/>
  <c r="V44" i="31"/>
  <c r="W44" i="31"/>
  <c r="X44" i="31"/>
  <c r="Y44" i="31"/>
  <c r="V45" i="31"/>
  <c r="W45" i="31"/>
  <c r="X45" i="31"/>
  <c r="Y45" i="31"/>
  <c r="V46" i="31"/>
  <c r="W46" i="31"/>
  <c r="X46" i="31"/>
  <c r="Y46" i="31"/>
  <c r="V48" i="31"/>
  <c r="V55" i="31"/>
  <c r="V56" i="31"/>
  <c r="V57" i="31" s="1"/>
  <c r="W56" i="31"/>
  <c r="X56" i="31"/>
  <c r="Y56" i="31"/>
  <c r="V60" i="31"/>
  <c r="W60" i="31"/>
  <c r="X60" i="31"/>
  <c r="Y60" i="31"/>
  <c r="W61" i="31"/>
  <c r="W62" i="31" s="1"/>
  <c r="Y61" i="31"/>
  <c r="V2" i="30"/>
  <c r="W2" i="30"/>
  <c r="X2" i="30"/>
  <c r="Y2" i="30"/>
  <c r="V3" i="30"/>
  <c r="W3" i="30"/>
  <c r="X3" i="30"/>
  <c r="Y3" i="30"/>
  <c r="V5" i="30"/>
  <c r="W5" i="30"/>
  <c r="X5" i="30"/>
  <c r="Y5" i="30"/>
  <c r="V12" i="30"/>
  <c r="V13" i="30" s="1"/>
  <c r="V22" i="30"/>
  <c r="V34" i="30"/>
  <c r="V43" i="30"/>
  <c r="V57" i="30"/>
  <c r="V61" i="30"/>
  <c r="W61" i="30"/>
  <c r="X61" i="30"/>
  <c r="Y61" i="30"/>
  <c r="V62" i="30"/>
  <c r="V63" i="30" s="1"/>
  <c r="L3" i="27"/>
  <c r="L5" i="27"/>
  <c r="L6" i="27"/>
  <c r="L7" i="27"/>
  <c r="L8" i="27" s="1"/>
  <c r="L31" i="27"/>
  <c r="L3" i="19"/>
  <c r="L5" i="19"/>
  <c r="L12" i="19"/>
  <c r="L13" i="19"/>
  <c r="L22" i="19"/>
  <c r="L34" i="19"/>
  <c r="L37" i="19"/>
  <c r="L43" i="19"/>
  <c r="L57" i="19"/>
  <c r="L61" i="19"/>
  <c r="L62" i="19"/>
  <c r="V2" i="41"/>
  <c r="W2" i="41"/>
  <c r="X2" i="41"/>
  <c r="Y2" i="41"/>
  <c r="V3" i="41"/>
  <c r="W3" i="41"/>
  <c r="X3" i="41"/>
  <c r="Y3" i="41"/>
  <c r="V5" i="41"/>
  <c r="W5" i="41"/>
  <c r="X5" i="41"/>
  <c r="Y5" i="41"/>
  <c r="V6" i="41"/>
  <c r="W6" i="41"/>
  <c r="X6" i="41"/>
  <c r="Y6" i="41"/>
  <c r="V7" i="41"/>
  <c r="W7" i="41"/>
  <c r="Y7" i="41"/>
  <c r="Y29" i="41" s="1"/>
  <c r="Y83" i="41" s="1"/>
  <c r="V8" i="41"/>
  <c r="X8" i="41"/>
  <c r="Y8" i="41"/>
  <c r="V9" i="41"/>
  <c r="X9" i="41"/>
  <c r="V10" i="41"/>
  <c r="X10" i="41"/>
  <c r="Y10" i="41"/>
  <c r="V11" i="41"/>
  <c r="X11" i="41"/>
  <c r="Y11" i="41"/>
  <c r="V12" i="41"/>
  <c r="X12" i="41"/>
  <c r="Y12" i="41"/>
  <c r="V14" i="41"/>
  <c r="Y14" i="41"/>
  <c r="V15" i="41"/>
  <c r="V16" i="41"/>
  <c r="Y16" i="41"/>
  <c r="V17" i="41"/>
  <c r="V18" i="41"/>
  <c r="V19" i="41"/>
  <c r="Y19" i="41"/>
  <c r="V20" i="41"/>
  <c r="Y20" i="41"/>
  <c r="V21" i="41"/>
  <c r="V22" i="41"/>
  <c r="Y22" i="41"/>
  <c r="V23" i="41"/>
  <c r="V25" i="41"/>
  <c r="Y25" i="41"/>
  <c r="V26" i="41"/>
  <c r="V27" i="41"/>
  <c r="Y27" i="41"/>
  <c r="V28" i="41"/>
  <c r="Y28" i="41"/>
  <c r="V29" i="41"/>
  <c r="V30" i="41"/>
  <c r="V31" i="41"/>
  <c r="Y31" i="41"/>
  <c r="V32" i="41"/>
  <c r="V33" i="41"/>
  <c r="V35" i="41"/>
  <c r="Y35" i="41"/>
  <c r="V36" i="41"/>
  <c r="W109" i="41"/>
  <c r="Y36" i="41"/>
  <c r="V37" i="41"/>
  <c r="V84" i="41" s="1"/>
  <c r="V85" i="41" s="1"/>
  <c r="V38" i="41"/>
  <c r="Y38" i="41"/>
  <c r="V39" i="41"/>
  <c r="V40" i="41"/>
  <c r="W114" i="41"/>
  <c r="Y40" i="41"/>
  <c r="Y114" i="41" s="1"/>
  <c r="V41" i="41"/>
  <c r="V42" i="41"/>
  <c r="Y42" i="41"/>
  <c r="V43" i="41"/>
  <c r="V116" i="41" s="1"/>
  <c r="V45" i="41"/>
  <c r="Y45" i="41"/>
  <c r="V46" i="41"/>
  <c r="V47" i="41"/>
  <c r="Y47" i="41"/>
  <c r="V48" i="41"/>
  <c r="Y48" i="41"/>
  <c r="V49" i="41"/>
  <c r="V50" i="41"/>
  <c r="Y50" i="41"/>
  <c r="V51" i="41"/>
  <c r="Y51" i="41"/>
  <c r="V52" i="41"/>
  <c r="W57" i="41"/>
  <c r="W111" i="41" s="1"/>
  <c r="Y52" i="41"/>
  <c r="V53" i="41"/>
  <c r="Y53" i="41"/>
  <c r="V54" i="41"/>
  <c r="V103" i="41" s="1"/>
  <c r="V104" i="41" s="1"/>
  <c r="Y54" i="41"/>
  <c r="Y103" i="41" s="1"/>
  <c r="V55" i="41"/>
  <c r="W55" i="41"/>
  <c r="Y55" i="41"/>
  <c r="V56" i="41"/>
  <c r="W56" i="41"/>
  <c r="Y56" i="41"/>
  <c r="V57" i="41"/>
  <c r="V111" i="41" s="1"/>
  <c r="V59" i="41"/>
  <c r="W59" i="41"/>
  <c r="Y59" i="41"/>
  <c r="V60" i="41"/>
  <c r="W60" i="41"/>
  <c r="Y60" i="41"/>
  <c r="V61" i="41"/>
  <c r="W61" i="41"/>
  <c r="V62" i="41"/>
  <c r="W62" i="41"/>
  <c r="Y62" i="41"/>
  <c r="V63" i="41"/>
  <c r="W63" i="41"/>
  <c r="Y63" i="41"/>
  <c r="V64" i="41"/>
  <c r="W64" i="41"/>
  <c r="Y64" i="41"/>
  <c r="V65" i="41"/>
  <c r="W65" i="41"/>
  <c r="Y65" i="41"/>
  <c r="V66" i="41"/>
  <c r="V70" i="41"/>
  <c r="V73" i="41"/>
  <c r="V79" i="41"/>
  <c r="V81" i="41"/>
  <c r="V82" i="41"/>
  <c r="W82" i="41"/>
  <c r="V83" i="41"/>
  <c r="W83" i="41"/>
  <c r="W84" i="41"/>
  <c r="V88" i="41"/>
  <c r="V102" i="41"/>
  <c r="W102" i="41"/>
  <c r="W103" i="41"/>
  <c r="W104" i="41"/>
  <c r="V108" i="41"/>
  <c r="V114" i="41"/>
  <c r="V118" i="41"/>
  <c r="V123" i="41"/>
  <c r="V124" i="41"/>
  <c r="W124" i="41"/>
  <c r="X124" i="41"/>
  <c r="Y124" i="41"/>
  <c r="V125" i="41"/>
  <c r="V126" i="41"/>
  <c r="V2" i="40"/>
  <c r="W2" i="40"/>
  <c r="X2" i="40"/>
  <c r="Y2" i="40"/>
  <c r="V3" i="40"/>
  <c r="W3" i="40"/>
  <c r="X3" i="40"/>
  <c r="Y3" i="40"/>
  <c r="V5" i="40"/>
  <c r="W5" i="40"/>
  <c r="X5" i="40"/>
  <c r="Y5" i="40"/>
  <c r="Y13" i="40"/>
  <c r="Y13" i="41" s="1"/>
  <c r="V13" i="40"/>
  <c r="V13" i="41" s="1"/>
  <c r="V24" i="41" s="1"/>
  <c r="X13" i="40"/>
  <c r="V23" i="40"/>
  <c r="V24" i="40" s="1"/>
  <c r="X23" i="40"/>
  <c r="Y23" i="40"/>
  <c r="Y33" i="40"/>
  <c r="V33" i="40"/>
  <c r="V108" i="40" s="1"/>
  <c r="X33" i="40"/>
  <c r="Y82" i="40"/>
  <c r="V43" i="40"/>
  <c r="V116" i="40" s="1"/>
  <c r="X43" i="40"/>
  <c r="X117" i="40" s="1"/>
  <c r="Y43" i="40"/>
  <c r="Y109" i="40" s="1"/>
  <c r="Y49" i="40"/>
  <c r="V49" i="40"/>
  <c r="X49" i="40"/>
  <c r="Y57" i="40"/>
  <c r="Y111" i="40" s="1"/>
  <c r="V57" i="40"/>
  <c r="V111" i="40" s="1"/>
  <c r="X57" i="40"/>
  <c r="X111" i="40" s="1"/>
  <c r="Y66" i="40"/>
  <c r="V66" i="40"/>
  <c r="X66" i="40"/>
  <c r="X123" i="40" s="1"/>
  <c r="X126" i="40" s="1"/>
  <c r="V70" i="40"/>
  <c r="V88" i="40" s="1"/>
  <c r="X70" i="40"/>
  <c r="X79" i="40" s="1"/>
  <c r="V71" i="40"/>
  <c r="X71" i="40"/>
  <c r="Y71" i="40"/>
  <c r="V81" i="40"/>
  <c r="X81" i="40"/>
  <c r="Y81" i="40"/>
  <c r="V82" i="40"/>
  <c r="X82" i="40"/>
  <c r="V83" i="40"/>
  <c r="X83" i="40"/>
  <c r="Y83" i="40"/>
  <c r="V84" i="40"/>
  <c r="X84" i="40"/>
  <c r="Y84" i="40"/>
  <c r="V102" i="40"/>
  <c r="X102" i="40"/>
  <c r="Y102" i="40"/>
  <c r="V103" i="40"/>
  <c r="V104" i="40" s="1"/>
  <c r="X103" i="40"/>
  <c r="Y103" i="40"/>
  <c r="V114" i="40"/>
  <c r="X114" i="40"/>
  <c r="Y114" i="40"/>
  <c r="V118" i="40"/>
  <c r="X118" i="40"/>
  <c r="Y118" i="40"/>
  <c r="V123" i="40"/>
  <c r="V125" i="40"/>
  <c r="V126" i="40"/>
  <c r="L3" i="4"/>
  <c r="L5" i="4"/>
  <c r="L6" i="4"/>
  <c r="L8" i="4"/>
  <c r="L47" i="4"/>
  <c r="L59" i="4"/>
  <c r="L3" i="18"/>
  <c r="L5" i="18"/>
  <c r="L13" i="18"/>
  <c r="L23" i="18"/>
  <c r="L33" i="18"/>
  <c r="L43" i="18"/>
  <c r="L57" i="18"/>
  <c r="L111" i="18" s="1"/>
  <c r="L66" i="18"/>
  <c r="L71" i="18"/>
  <c r="L73" i="18"/>
  <c r="L81" i="18"/>
  <c r="L83" i="18"/>
  <c r="L84" i="18"/>
  <c r="L102" i="18"/>
  <c r="L103" i="18"/>
  <c r="L118" i="18"/>
  <c r="L121" i="18"/>
  <c r="V2" i="13"/>
  <c r="W2" i="13"/>
  <c r="X2" i="13"/>
  <c r="Y2" i="13"/>
  <c r="V3" i="13"/>
  <c r="W3" i="13"/>
  <c r="X3" i="13"/>
  <c r="Y3" i="13"/>
  <c r="V5" i="13"/>
  <c r="W5" i="13"/>
  <c r="X5" i="13"/>
  <c r="Y5" i="13"/>
  <c r="V6" i="13"/>
  <c r="W6" i="13"/>
  <c r="X6" i="13"/>
  <c r="Y6" i="13"/>
  <c r="V7" i="13"/>
  <c r="W7" i="13"/>
  <c r="W38" i="13" s="1"/>
  <c r="W90" i="13" s="1"/>
  <c r="Y7" i="13"/>
  <c r="V8" i="13"/>
  <c r="V9" i="35" s="1"/>
  <c r="W8" i="13"/>
  <c r="X8" i="13"/>
  <c r="Y8" i="13"/>
  <c r="Y9" i="35" s="1"/>
  <c r="V9" i="13"/>
  <c r="W9" i="13"/>
  <c r="W11" i="35" s="1"/>
  <c r="X9" i="13"/>
  <c r="X11" i="35" s="1"/>
  <c r="Y9" i="13"/>
  <c r="Y11" i="35" s="1"/>
  <c r="V10" i="13"/>
  <c r="V13" i="35" s="1"/>
  <c r="W10" i="13"/>
  <c r="X10" i="13"/>
  <c r="X13" i="35" s="1"/>
  <c r="Y10" i="13"/>
  <c r="Y13" i="35" s="1"/>
  <c r="V11" i="13"/>
  <c r="V15" i="35" s="1"/>
  <c r="W11" i="13"/>
  <c r="W15" i="35" s="1"/>
  <c r="W72" i="35" s="1"/>
  <c r="X11" i="13"/>
  <c r="X15" i="35" s="1"/>
  <c r="Y11" i="13"/>
  <c r="Y15" i="35" s="1"/>
  <c r="V12" i="13"/>
  <c r="W12" i="13"/>
  <c r="V13" i="13"/>
  <c r="V19" i="35" s="1"/>
  <c r="W13" i="13"/>
  <c r="W19" i="35" s="1"/>
  <c r="V14" i="13"/>
  <c r="V15" i="13"/>
  <c r="V9" i="37" s="1"/>
  <c r="W15" i="13"/>
  <c r="W9" i="37" s="1"/>
  <c r="W10" i="37" s="1"/>
  <c r="X15" i="13"/>
  <c r="X9" i="37" s="1"/>
  <c r="Y15" i="13"/>
  <c r="Y9" i="37" s="1"/>
  <c r="V16" i="13"/>
  <c r="V11" i="37" s="1"/>
  <c r="W16" i="13"/>
  <c r="W11" i="37" s="1"/>
  <c r="X16" i="13"/>
  <c r="X11" i="37" s="1"/>
  <c r="Y16" i="13"/>
  <c r="Y11" i="37" s="1"/>
  <c r="V17" i="13"/>
  <c r="V13" i="37" s="1"/>
  <c r="W17" i="13"/>
  <c r="W13" i="37" s="1"/>
  <c r="X17" i="13"/>
  <c r="X13" i="37" s="1"/>
  <c r="Y17" i="13"/>
  <c r="Y13" i="37" s="1"/>
  <c r="V18" i="13"/>
  <c r="V15" i="37" s="1"/>
  <c r="W18" i="13"/>
  <c r="W15" i="37" s="1"/>
  <c r="X18" i="13"/>
  <c r="X15" i="37" s="1"/>
  <c r="Y18" i="13"/>
  <c r="Y15" i="37" s="1"/>
  <c r="V19" i="13"/>
  <c r="V17" i="37" s="1"/>
  <c r="W19" i="13"/>
  <c r="W17" i="37" s="1"/>
  <c r="W18" i="37" s="1"/>
  <c r="X19" i="13"/>
  <c r="X17" i="37" s="1"/>
  <c r="Y19" i="13"/>
  <c r="Y17" i="37" s="1"/>
  <c r="V21" i="13"/>
  <c r="W21" i="13"/>
  <c r="X21" i="13"/>
  <c r="Y21" i="13"/>
  <c r="V22" i="13"/>
  <c r="V23" i="37" s="1"/>
  <c r="W22" i="13"/>
  <c r="W23" i="37" s="1"/>
  <c r="X22" i="13"/>
  <c r="X23" i="37" s="1"/>
  <c r="Y22" i="13"/>
  <c r="Y23" i="37" s="1"/>
  <c r="V23" i="13"/>
  <c r="V25" i="37" s="1"/>
  <c r="W23" i="13"/>
  <c r="W25" i="37" s="1"/>
  <c r="X23" i="13"/>
  <c r="X25" i="37" s="1"/>
  <c r="Y23" i="13"/>
  <c r="Y25" i="37" s="1"/>
  <c r="V27" i="13"/>
  <c r="W27" i="13"/>
  <c r="X27" i="13"/>
  <c r="X27" i="37" s="1"/>
  <c r="Y27" i="13"/>
  <c r="Y27" i="37" s="1"/>
  <c r="V29" i="13"/>
  <c r="V29" i="37" s="1"/>
  <c r="W29" i="13"/>
  <c r="W29" i="37" s="1"/>
  <c r="X29" i="13"/>
  <c r="X29" i="37" s="1"/>
  <c r="Y29" i="13"/>
  <c r="V31" i="13"/>
  <c r="W31" i="13"/>
  <c r="X31" i="13"/>
  <c r="Y31" i="13"/>
  <c r="V32" i="13"/>
  <c r="W32" i="13"/>
  <c r="X32" i="13"/>
  <c r="Y32" i="13"/>
  <c r="V33" i="13"/>
  <c r="W33" i="13"/>
  <c r="X33" i="13"/>
  <c r="Y33" i="13"/>
  <c r="V34" i="13"/>
  <c r="W34" i="13"/>
  <c r="X34" i="13"/>
  <c r="Y34" i="13"/>
  <c r="V35" i="13"/>
  <c r="W35" i="13"/>
  <c r="X35" i="13"/>
  <c r="Y35" i="13"/>
  <c r="V36" i="13"/>
  <c r="W36" i="13"/>
  <c r="X36" i="13"/>
  <c r="Y36" i="13"/>
  <c r="V38" i="13"/>
  <c r="X38" i="13"/>
  <c r="X90" i="13" s="1"/>
  <c r="Y38" i="13"/>
  <c r="Y90" i="13" s="1"/>
  <c r="Y92" i="13" s="1"/>
  <c r="Y95" i="13" s="1"/>
  <c r="V39" i="13"/>
  <c r="X39" i="13"/>
  <c r="Y39" i="13"/>
  <c r="V40" i="13"/>
  <c r="X40" i="13"/>
  <c r="Y40" i="13"/>
  <c r="V41" i="13"/>
  <c r="X41" i="13"/>
  <c r="Y41" i="13"/>
  <c r="V42" i="13"/>
  <c r="X42" i="13"/>
  <c r="Y42" i="13"/>
  <c r="V44" i="13"/>
  <c r="W44" i="13"/>
  <c r="X44" i="13"/>
  <c r="Y44" i="13"/>
  <c r="V46" i="13"/>
  <c r="W46" i="13"/>
  <c r="X46" i="13"/>
  <c r="Y46" i="13"/>
  <c r="V50" i="13"/>
  <c r="W50" i="13"/>
  <c r="W51" i="13" s="1"/>
  <c r="X50" i="13"/>
  <c r="Y50" i="13"/>
  <c r="Y51" i="13" s="1"/>
  <c r="V51" i="13"/>
  <c r="X51" i="13"/>
  <c r="V52" i="13"/>
  <c r="V53" i="13" s="1"/>
  <c r="W52" i="13"/>
  <c r="W53" i="13" s="1"/>
  <c r="X52" i="13"/>
  <c r="X53" i="13" s="1"/>
  <c r="Y52" i="13"/>
  <c r="Y53" i="13" s="1"/>
  <c r="W54" i="13"/>
  <c r="V55" i="13"/>
  <c r="V61" i="13" s="1"/>
  <c r="V62" i="13" s="1"/>
  <c r="W55" i="13"/>
  <c r="W59" i="13" s="1"/>
  <c r="W60" i="13" s="1"/>
  <c r="X55" i="13"/>
  <c r="Y55" i="13"/>
  <c r="Y61" i="13"/>
  <c r="Y62" i="13" s="1"/>
  <c r="V63" i="13"/>
  <c r="V64" i="13"/>
  <c r="V65" i="13"/>
  <c r="V66" i="13" s="1"/>
  <c r="V67" i="13"/>
  <c r="W67" i="13"/>
  <c r="W68" i="13" s="1"/>
  <c r="V68" i="13"/>
  <c r="V69" i="13"/>
  <c r="V70" i="13" s="1"/>
  <c r="W69" i="13"/>
  <c r="W70" i="13" s="1"/>
  <c r="V71" i="13"/>
  <c r="W71" i="13"/>
  <c r="Y71" i="13"/>
  <c r="Y72" i="13" s="1"/>
  <c r="V72" i="13"/>
  <c r="W72" i="13"/>
  <c r="V77" i="13"/>
  <c r="W77" i="13"/>
  <c r="Y77" i="13"/>
  <c r="Y78" i="13" s="1"/>
  <c r="V78" i="13"/>
  <c r="W78" i="13"/>
  <c r="V90" i="13"/>
  <c r="V91" i="13"/>
  <c r="X91" i="13"/>
  <c r="Y91" i="13"/>
  <c r="V92" i="13"/>
  <c r="V93" i="13"/>
  <c r="X93" i="13"/>
  <c r="Y93" i="13"/>
  <c r="V94" i="13"/>
  <c r="W94" i="13"/>
  <c r="X94" i="13"/>
  <c r="Y94" i="13"/>
  <c r="V95" i="13"/>
  <c r="V2" i="12"/>
  <c r="W2" i="12"/>
  <c r="X2" i="12"/>
  <c r="Y2" i="12"/>
  <c r="V3" i="12"/>
  <c r="W3" i="12"/>
  <c r="X3" i="12"/>
  <c r="Y3" i="12"/>
  <c r="V5" i="12"/>
  <c r="W5" i="12"/>
  <c r="X5" i="12"/>
  <c r="Y5" i="12"/>
  <c r="V12" i="12"/>
  <c r="V13" i="12"/>
  <c r="V14" i="12" s="1"/>
  <c r="V20" i="12"/>
  <c r="V93" i="12"/>
  <c r="V91" i="12"/>
  <c r="V46" i="12"/>
  <c r="W46" i="12" s="1"/>
  <c r="X46" i="12" s="1"/>
  <c r="Y46" i="12"/>
  <c r="V50" i="12"/>
  <c r="W50" i="12"/>
  <c r="X50" i="12"/>
  <c r="X51" i="12" s="1"/>
  <c r="Y50" i="12"/>
  <c r="V51" i="12"/>
  <c r="W51" i="12"/>
  <c r="Y51" i="12"/>
  <c r="V52" i="12"/>
  <c r="W52" i="12"/>
  <c r="W53" i="12" s="1"/>
  <c r="X52" i="12"/>
  <c r="Y52" i="12"/>
  <c r="V53" i="12"/>
  <c r="X53" i="12"/>
  <c r="Y53" i="12"/>
  <c r="X54" i="12"/>
  <c r="Y54" i="12"/>
  <c r="V55" i="12"/>
  <c r="V59" i="12" s="1"/>
  <c r="V60" i="12" s="1"/>
  <c r="W55" i="12"/>
  <c r="X55" i="12"/>
  <c r="Y55" i="12"/>
  <c r="V67" i="12"/>
  <c r="V68" i="12"/>
  <c r="V69" i="12"/>
  <c r="V70" i="12" s="1"/>
  <c r="V71" i="12"/>
  <c r="V72" i="12"/>
  <c r="V77" i="12"/>
  <c r="V78" i="12" s="1"/>
  <c r="V90" i="12"/>
  <c r="V46" i="30" s="1"/>
  <c r="V94" i="12"/>
  <c r="L3" i="2"/>
  <c r="M3" i="2"/>
  <c r="L5" i="2"/>
  <c r="M5" i="2"/>
  <c r="L6" i="2"/>
  <c r="M6" i="2"/>
  <c r="L7" i="2"/>
  <c r="L7" i="8" s="1"/>
  <c r="L81" i="8" s="1"/>
  <c r="M7" i="2"/>
  <c r="L8" i="2"/>
  <c r="L9" i="8" s="1"/>
  <c r="L9" i="2"/>
  <c r="L11" i="8" s="1"/>
  <c r="L10" i="2"/>
  <c r="L11" i="2"/>
  <c r="L15" i="8" s="1"/>
  <c r="L15" i="2"/>
  <c r="L9" i="26" s="1"/>
  <c r="L49" i="26" s="1"/>
  <c r="L50" i="26" s="1"/>
  <c r="L16" i="2"/>
  <c r="L11" i="26" s="1"/>
  <c r="L17" i="2"/>
  <c r="L13" i="26" s="1"/>
  <c r="L18" i="2"/>
  <c r="L15" i="26" s="1"/>
  <c r="L19" i="2"/>
  <c r="L17" i="26" s="1"/>
  <c r="L21" i="2"/>
  <c r="L21" i="26" s="1"/>
  <c r="L61" i="26" s="1"/>
  <c r="L62" i="26" s="1"/>
  <c r="L22" i="2"/>
  <c r="L23" i="26" s="1"/>
  <c r="L23" i="2"/>
  <c r="L25" i="26" s="1"/>
  <c r="L27" i="2"/>
  <c r="L27" i="26" s="1"/>
  <c r="L29" i="26"/>
  <c r="L31" i="2"/>
  <c r="L32" i="2"/>
  <c r="L33" i="2"/>
  <c r="L34" i="2"/>
  <c r="L35" i="2"/>
  <c r="L36" i="2"/>
  <c r="L38" i="2"/>
  <c r="L90" i="2" s="1"/>
  <c r="L39" i="2"/>
  <c r="L91" i="2" s="1"/>
  <c r="L40" i="2"/>
  <c r="L41" i="2"/>
  <c r="L42" i="2"/>
  <c r="L44" i="2"/>
  <c r="L46" i="2"/>
  <c r="L50" i="2"/>
  <c r="L51" i="2" s="1"/>
  <c r="L52" i="2"/>
  <c r="L53" i="2" s="1"/>
  <c r="L55" i="2"/>
  <c r="L59" i="2" s="1"/>
  <c r="L60" i="2" s="1"/>
  <c r="M87" i="2"/>
  <c r="L94" i="2"/>
  <c r="L3" i="11"/>
  <c r="L5" i="11"/>
  <c r="L12" i="11"/>
  <c r="L17" i="24" s="1"/>
  <c r="L13" i="11"/>
  <c r="L119" i="18" s="1"/>
  <c r="L20" i="11"/>
  <c r="L24" i="11" s="1"/>
  <c r="L120" i="18" s="1"/>
  <c r="L50" i="11"/>
  <c r="L51" i="11"/>
  <c r="L52" i="11"/>
  <c r="L53" i="11" s="1"/>
  <c r="L55" i="11"/>
  <c r="L59" i="11" s="1"/>
  <c r="L60" i="11" s="1"/>
  <c r="L67" i="11"/>
  <c r="L68" i="11" s="1"/>
  <c r="L69" i="11"/>
  <c r="L70" i="11" s="1"/>
  <c r="L71" i="11"/>
  <c r="L72" i="11" s="1"/>
  <c r="L90" i="11"/>
  <c r="L46" i="19" s="1"/>
  <c r="L91" i="11"/>
  <c r="L92" i="11"/>
  <c r="L95" i="11" s="1"/>
  <c r="L93" i="11"/>
  <c r="L94" i="11"/>
  <c r="O23" i="38"/>
  <c r="X2" i="39"/>
  <c r="Y2" i="39" s="1"/>
  <c r="X3" i="39"/>
  <c r="X13" i="39" s="1"/>
  <c r="Y3" i="39"/>
  <c r="Y13" i="39" s="1"/>
  <c r="X15" i="39"/>
  <c r="Y15" i="39"/>
  <c r="X16" i="39"/>
  <c r="X17" i="39" s="1"/>
  <c r="Y16" i="39"/>
  <c r="Y17" i="39" s="1"/>
  <c r="X21" i="39"/>
  <c r="Y21" i="39"/>
  <c r="X23" i="39"/>
  <c r="Y23" i="39"/>
  <c r="X28" i="39"/>
  <c r="Y28" i="39"/>
  <c r="X32" i="39"/>
  <c r="Y32" i="39"/>
  <c r="X34" i="39"/>
  <c r="Y34" i="39"/>
  <c r="X35" i="39"/>
  <c r="Y35" i="39"/>
  <c r="X38" i="39"/>
  <c r="Y38" i="39"/>
  <c r="X40" i="39"/>
  <c r="Y40" i="39"/>
  <c r="X41" i="39"/>
  <c r="Y41" i="39"/>
  <c r="X44" i="39"/>
  <c r="Y44" i="39"/>
  <c r="X46" i="39"/>
  <c r="Y46" i="39"/>
  <c r="X47" i="39"/>
  <c r="Y47" i="39"/>
  <c r="X48" i="39"/>
  <c r="Y48" i="39"/>
  <c r="X50" i="39"/>
  <c r="X51" i="39" s="1"/>
  <c r="Y50" i="39"/>
  <c r="Y51" i="39" s="1"/>
  <c r="X52" i="39"/>
  <c r="X53" i="39" s="1"/>
  <c r="Y52" i="39"/>
  <c r="Y53" i="39" s="1"/>
  <c r="X54" i="39"/>
  <c r="X55" i="39" s="1"/>
  <c r="Y54" i="39"/>
  <c r="Y55" i="39" s="1"/>
  <c r="X56" i="39"/>
  <c r="X57" i="39" s="1"/>
  <c r="Y56" i="39"/>
  <c r="Y57" i="39" s="1"/>
  <c r="X58" i="39"/>
  <c r="X59" i="39" s="1"/>
  <c r="Y58" i="39"/>
  <c r="Y59" i="39" s="1"/>
  <c r="X62" i="39"/>
  <c r="Y62" i="39"/>
  <c r="X64" i="39"/>
  <c r="X65" i="39" s="1"/>
  <c r="AB66" i="39" s="1"/>
  <c r="Y64" i="39"/>
  <c r="Y65" i="39"/>
  <c r="X68" i="39"/>
  <c r="Y68" i="39"/>
  <c r="X69" i="39"/>
  <c r="Y69" i="39"/>
  <c r="X71" i="39"/>
  <c r="Y71" i="39"/>
  <c r="X73" i="39"/>
  <c r="Y73" i="39"/>
  <c r="L3" i="6"/>
  <c r="L13" i="6" s="1"/>
  <c r="L7" i="6"/>
  <c r="L15" i="6"/>
  <c r="L16" i="6"/>
  <c r="L52" i="6" s="1"/>
  <c r="L53" i="6" s="1"/>
  <c r="L23" i="6"/>
  <c r="L28" i="6"/>
  <c r="L32" i="6"/>
  <c r="L34" i="6"/>
  <c r="L35" i="6"/>
  <c r="M44" i="17" s="1"/>
  <c r="L64" i="6"/>
  <c r="L65" i="6" s="1"/>
  <c r="L66" i="6"/>
  <c r="L67" i="6" s="1"/>
  <c r="L68" i="6"/>
  <c r="L69" i="6" s="1"/>
  <c r="L80" i="6"/>
  <c r="L81" i="6" s="1"/>
  <c r="L85" i="6"/>
  <c r="L87" i="6"/>
  <c r="L93" i="6"/>
  <c r="L94" i="6"/>
  <c r="L99" i="6" s="1"/>
  <c r="L95" i="6"/>
  <c r="L100" i="6" s="1"/>
  <c r="L103" i="6" s="1"/>
  <c r="L116" i="6"/>
  <c r="L123" i="6" s="1"/>
  <c r="L128" i="6"/>
  <c r="L143" i="6"/>
  <c r="L158" i="6"/>
  <c r="L162" i="6" s="1"/>
  <c r="L159" i="6"/>
  <c r="L160" i="6"/>
  <c r="L161" i="6"/>
  <c r="L172" i="6"/>
  <c r="L173" i="6"/>
  <c r="L179" i="6"/>
  <c r="L180" i="6"/>
  <c r="L183" i="6"/>
  <c r="L188" i="6"/>
  <c r="L189" i="6"/>
  <c r="L192" i="6"/>
  <c r="L210" i="6"/>
  <c r="L214" i="6"/>
  <c r="L218" i="6"/>
  <c r="L222" i="6"/>
  <c r="L224" i="6"/>
  <c r="Z27" i="38"/>
  <c r="Y28" i="38"/>
  <c r="Y27" i="38"/>
  <c r="Y62" i="31" l="1"/>
  <c r="X62" i="31"/>
  <c r="AB88" i="13"/>
  <c r="AB84" i="13"/>
  <c r="AC88" i="13"/>
  <c r="AC84" i="13"/>
  <c r="AA84" i="13"/>
  <c r="AA88" i="13"/>
  <c r="Z84" i="13"/>
  <c r="Z88" i="13"/>
  <c r="V62" i="31"/>
  <c r="Y67" i="36"/>
  <c r="Y68" i="36" s="1"/>
  <c r="Y73" i="41"/>
  <c r="Y66" i="41"/>
  <c r="Y123" i="41" s="1"/>
  <c r="Y126" i="41" s="1"/>
  <c r="Y41" i="41"/>
  <c r="Y21" i="41"/>
  <c r="Y102" i="41" s="1"/>
  <c r="Y15" i="41"/>
  <c r="Y23" i="41" s="1"/>
  <c r="Y24" i="41" s="1"/>
  <c r="Y110" i="41" s="1"/>
  <c r="Y49" i="41"/>
  <c r="Y9" i="41"/>
  <c r="L93" i="2"/>
  <c r="Y69" i="13"/>
  <c r="Y70" i="13" s="1"/>
  <c r="Y46" i="41"/>
  <c r="Y39" i="41"/>
  <c r="Y32" i="41"/>
  <c r="Y33" i="41" s="1"/>
  <c r="Y108" i="41" s="1"/>
  <c r="Y26" i="41"/>
  <c r="Y91" i="35"/>
  <c r="Y88" i="35"/>
  <c r="Y18" i="41"/>
  <c r="L12" i="2"/>
  <c r="L17" i="8" s="1"/>
  <c r="L18" i="8" s="1"/>
  <c r="Y57" i="13"/>
  <c r="Y58" i="13" s="1"/>
  <c r="Y17" i="41"/>
  <c r="Y67" i="13"/>
  <c r="Y68" i="13" s="1"/>
  <c r="Y61" i="41"/>
  <c r="Y37" i="41"/>
  <c r="Y84" i="41" s="1"/>
  <c r="Y30" i="41"/>
  <c r="Y118" i="41" s="1"/>
  <c r="Y90" i="35"/>
  <c r="Y85" i="35"/>
  <c r="Y89" i="35" s="1"/>
  <c r="Y59" i="13"/>
  <c r="Y60" i="13" s="1"/>
  <c r="Y54" i="13"/>
  <c r="L61" i="11"/>
  <c r="L62" i="11" s="1"/>
  <c r="L57" i="11"/>
  <c r="L58" i="11" s="1"/>
  <c r="L61" i="2"/>
  <c r="L62" i="2" s="1"/>
  <c r="L69" i="2"/>
  <c r="L70" i="2" s="1"/>
  <c r="L54" i="2"/>
  <c r="M46" i="17"/>
  <c r="Y33" i="31"/>
  <c r="Y22" i="31"/>
  <c r="Y12" i="31"/>
  <c r="Y48" i="31" s="1"/>
  <c r="L35" i="19"/>
  <c r="L38" i="19" s="1"/>
  <c r="Y57" i="41"/>
  <c r="Y111" i="41" s="1"/>
  <c r="Y104" i="40"/>
  <c r="Y43" i="41"/>
  <c r="Y109" i="41" s="1"/>
  <c r="L104" i="18"/>
  <c r="L24" i="18"/>
  <c r="L110" i="18" s="1"/>
  <c r="L108" i="18"/>
  <c r="X30" i="36"/>
  <c r="X57" i="36"/>
  <c r="X58" i="36" s="1"/>
  <c r="X53" i="36"/>
  <c r="X54" i="36" s="1"/>
  <c r="X49" i="36"/>
  <c r="X50" i="36" s="1"/>
  <c r="Y46" i="34"/>
  <c r="Y17" i="34"/>
  <c r="Y69" i="34"/>
  <c r="Y58" i="34"/>
  <c r="Y42" i="34"/>
  <c r="L92" i="2"/>
  <c r="L95" i="2" s="1"/>
  <c r="L76" i="25"/>
  <c r="L19" i="25"/>
  <c r="L77" i="2"/>
  <c r="L78" i="2" s="1"/>
  <c r="L87" i="18"/>
  <c r="L73" i="24"/>
  <c r="L74" i="24" s="1"/>
  <c r="L62" i="24"/>
  <c r="L63" i="24" s="1"/>
  <c r="L35" i="24"/>
  <c r="L36" i="24" s="1"/>
  <c r="L48" i="24"/>
  <c r="L49" i="24" s="1"/>
  <c r="L18" i="24"/>
  <c r="L64" i="24"/>
  <c r="L65" i="24" s="1"/>
  <c r="L75" i="24"/>
  <c r="L76" i="24" s="1"/>
  <c r="L50" i="24"/>
  <c r="L51" i="24" s="1"/>
  <c r="L55" i="24"/>
  <c r="L56" i="24" s="1"/>
  <c r="L46" i="24"/>
  <c r="L47" i="24" s="1"/>
  <c r="L86" i="18"/>
  <c r="L67" i="2"/>
  <c r="L68" i="2" s="1"/>
  <c r="L14" i="11"/>
  <c r="M16" i="17"/>
  <c r="L114" i="18"/>
  <c r="L69" i="24"/>
  <c r="L70" i="24" s="1"/>
  <c r="L57" i="2"/>
  <c r="L58" i="2" s="1"/>
  <c r="L19" i="24"/>
  <c r="L20" i="24" s="1"/>
  <c r="L55" i="4"/>
  <c r="L51" i="4"/>
  <c r="L39" i="4"/>
  <c r="L35" i="4"/>
  <c r="L31" i="4"/>
  <c r="L27" i="4"/>
  <c r="L19" i="4"/>
  <c r="L15" i="4"/>
  <c r="L63" i="4"/>
  <c r="L26" i="26"/>
  <c r="L65" i="26"/>
  <c r="L66" i="26" s="1"/>
  <c r="L63" i="26"/>
  <c r="L64" i="26" s="1"/>
  <c r="L24" i="26"/>
  <c r="L57" i="26"/>
  <c r="L58" i="26" s="1"/>
  <c r="L18" i="26"/>
  <c r="L16" i="26"/>
  <c r="L55" i="26"/>
  <c r="L56" i="26" s="1"/>
  <c r="L44" i="8"/>
  <c r="L45" i="8" s="1"/>
  <c r="L31" i="8"/>
  <c r="L32" i="8" s="1"/>
  <c r="L12" i="8"/>
  <c r="L69" i="26"/>
  <c r="L28" i="26"/>
  <c r="L67" i="26"/>
  <c r="L68" i="26" s="1"/>
  <c r="L48" i="8"/>
  <c r="L49" i="8" s="1"/>
  <c r="L35" i="8"/>
  <c r="L36" i="8" s="1"/>
  <c r="L16" i="8"/>
  <c r="L62" i="8"/>
  <c r="L63" i="8" s="1"/>
  <c r="L73" i="8"/>
  <c r="L14" i="26"/>
  <c r="L53" i="26"/>
  <c r="L54" i="26" s="1"/>
  <c r="L51" i="26"/>
  <c r="L52" i="26" s="1"/>
  <c r="L12" i="26"/>
  <c r="L75" i="8"/>
  <c r="L64" i="8"/>
  <c r="L65" i="8" s="1"/>
  <c r="L50" i="8"/>
  <c r="L51" i="8" s="1"/>
  <c r="L37" i="8"/>
  <c r="L38" i="8" s="1"/>
  <c r="L42" i="8"/>
  <c r="L43" i="8" s="1"/>
  <c r="L58" i="8"/>
  <c r="L59" i="8" s="1"/>
  <c r="L29" i="8"/>
  <c r="L30" i="8" s="1"/>
  <c r="L10" i="8"/>
  <c r="L69" i="8"/>
  <c r="L20" i="2"/>
  <c r="L19" i="26" s="1"/>
  <c r="L31" i="26" s="1"/>
  <c r="L37" i="26" s="1"/>
  <c r="L73" i="4"/>
  <c r="L13" i="8"/>
  <c r="L71" i="2"/>
  <c r="L72" i="2" s="1"/>
  <c r="L61" i="27"/>
  <c r="L22" i="26"/>
  <c r="L10" i="26"/>
  <c r="L27" i="27"/>
  <c r="L23" i="27"/>
  <c r="L19" i="27"/>
  <c r="L13" i="2"/>
  <c r="L15" i="27"/>
  <c r="L76" i="26"/>
  <c r="L11" i="27"/>
  <c r="L84" i="8"/>
  <c r="Y12" i="13"/>
  <c r="Y104" i="41"/>
  <c r="Y87" i="35"/>
  <c r="Y13" i="13"/>
  <c r="X22" i="31"/>
  <c r="X125" i="40"/>
  <c r="X104" i="40"/>
  <c r="X88" i="40"/>
  <c r="X109" i="40"/>
  <c r="X116" i="40"/>
  <c r="X24" i="40"/>
  <c r="X110" i="40" s="1"/>
  <c r="X108" i="40"/>
  <c r="W69" i="36"/>
  <c r="W70" i="36" s="1"/>
  <c r="W18" i="36"/>
  <c r="W55" i="36"/>
  <c r="W56" i="36" s="1"/>
  <c r="X71" i="34"/>
  <c r="X60" i="34"/>
  <c r="X17" i="34"/>
  <c r="X37" i="34" s="1"/>
  <c r="X71" i="13"/>
  <c r="X72" i="13" s="1"/>
  <c r="X54" i="13"/>
  <c r="X77" i="13"/>
  <c r="X78" i="13" s="1"/>
  <c r="X88" i="35"/>
  <c r="X91" i="35"/>
  <c r="X89" i="35"/>
  <c r="X87" i="35"/>
  <c r="X13" i="31"/>
  <c r="X43" i="31" s="1"/>
  <c r="X48" i="31"/>
  <c r="X92" i="13"/>
  <c r="X95" i="13" s="1"/>
  <c r="X59" i="13"/>
  <c r="X60" i="13" s="1"/>
  <c r="X61" i="13"/>
  <c r="X62" i="13" s="1"/>
  <c r="X39" i="34"/>
  <c r="X40" i="34" s="1"/>
  <c r="X52" i="34"/>
  <c r="X53" i="34" s="1"/>
  <c r="X66" i="34"/>
  <c r="X67" i="34" s="1"/>
  <c r="X24" i="34"/>
  <c r="X77" i="34"/>
  <c r="X78" i="34" s="1"/>
  <c r="X25" i="34"/>
  <c r="X12" i="13"/>
  <c r="X57" i="13"/>
  <c r="X58" i="13" s="1"/>
  <c r="X67" i="13"/>
  <c r="X68" i="13" s="1"/>
  <c r="X69" i="13"/>
  <c r="X70" i="13" s="1"/>
  <c r="X72" i="40"/>
  <c r="X75" i="40" s="1"/>
  <c r="X50" i="34"/>
  <c r="X64" i="34"/>
  <c r="X73" i="41"/>
  <c r="X9" i="35"/>
  <c r="X68" i="35" s="1"/>
  <c r="X13" i="13"/>
  <c r="X23" i="34"/>
  <c r="W61" i="13"/>
  <c r="W62" i="13" s="1"/>
  <c r="V61" i="12"/>
  <c r="V62" i="12" s="1"/>
  <c r="V57" i="12"/>
  <c r="V58" i="12" s="1"/>
  <c r="V59" i="13"/>
  <c r="V60" i="13" s="1"/>
  <c r="V57" i="13"/>
  <c r="V58" i="13" s="1"/>
  <c r="V54" i="13"/>
  <c r="V54" i="12"/>
  <c r="W54" i="12"/>
  <c r="W12" i="31"/>
  <c r="W53" i="37"/>
  <c r="W54" i="37" s="1"/>
  <c r="W14" i="37"/>
  <c r="W63" i="37"/>
  <c r="W64" i="37" s="1"/>
  <c r="W24" i="37"/>
  <c r="W14" i="13"/>
  <c r="W17" i="35"/>
  <c r="W65" i="13"/>
  <c r="W66" i="13" s="1"/>
  <c r="W75" i="34"/>
  <c r="W71" i="34"/>
  <c r="W37" i="34"/>
  <c r="W33" i="34"/>
  <c r="W70" i="35"/>
  <c r="W64" i="34"/>
  <c r="W60" i="34"/>
  <c r="W55" i="34"/>
  <c r="W56" i="34" s="1"/>
  <c r="W9" i="35"/>
  <c r="W42" i="34"/>
  <c r="W63" i="13"/>
  <c r="W64" i="13" s="1"/>
  <c r="W57" i="13"/>
  <c r="W58" i="13" s="1"/>
  <c r="W69" i="34"/>
  <c r="W48" i="31"/>
  <c r="W13" i="31"/>
  <c r="W26" i="37"/>
  <c r="W65" i="37"/>
  <c r="W66" i="37" s="1"/>
  <c r="W16" i="37"/>
  <c r="W55" i="37"/>
  <c r="W56" i="37" s="1"/>
  <c r="W12" i="37"/>
  <c r="W51" i="37"/>
  <c r="W52" i="37" s="1"/>
  <c r="W51" i="35"/>
  <c r="W23" i="35"/>
  <c r="W76" i="35"/>
  <c r="W77" i="35" s="1"/>
  <c r="W38" i="35"/>
  <c r="W65" i="35"/>
  <c r="W66" i="35" s="1"/>
  <c r="W30" i="37"/>
  <c r="W69" i="37"/>
  <c r="W70" i="37" s="1"/>
  <c r="W24" i="35"/>
  <c r="W74" i="35"/>
  <c r="W25" i="35"/>
  <c r="W49" i="35"/>
  <c r="W36" i="35"/>
  <c r="W63" i="35"/>
  <c r="W47" i="35"/>
  <c r="W22" i="35"/>
  <c r="W73" i="41"/>
  <c r="W42" i="13"/>
  <c r="W41" i="13"/>
  <c r="W40" i="13"/>
  <c r="W39" i="13"/>
  <c r="W91" i="13" s="1"/>
  <c r="W92" i="13" s="1"/>
  <c r="W95" i="13" s="1"/>
  <c r="W68" i="35"/>
  <c r="W61" i="35"/>
  <c r="W54" i="35"/>
  <c r="W55" i="35" s="1"/>
  <c r="W45" i="35"/>
  <c r="W34" i="35"/>
  <c r="W61" i="37"/>
  <c r="W62" i="37" s="1"/>
  <c r="W28" i="37"/>
  <c r="W93" i="13"/>
  <c r="W20" i="13"/>
  <c r="W59" i="35"/>
  <c r="W32" i="35"/>
  <c r="W57" i="37"/>
  <c r="W58" i="37" s="1"/>
  <c r="W49" i="37"/>
  <c r="W50" i="37" s="1"/>
  <c r="W108" i="41"/>
  <c r="W116" i="41"/>
  <c r="W66" i="41"/>
  <c r="W125" i="41" s="1"/>
  <c r="W70" i="41"/>
  <c r="W79" i="41" s="1"/>
  <c r="W118" i="41"/>
  <c r="W117" i="41"/>
  <c r="W81" i="41"/>
  <c r="W85" i="41" s="1"/>
  <c r="W71" i="41"/>
  <c r="W115" i="41"/>
  <c r="X69" i="37"/>
  <c r="X70" i="37" s="1"/>
  <c r="X30" i="37"/>
  <c r="X65" i="37"/>
  <c r="X66" i="37" s="1"/>
  <c r="X26" i="37"/>
  <c r="X24" i="37"/>
  <c r="X63" i="37"/>
  <c r="X64" i="37" s="1"/>
  <c r="X20" i="13"/>
  <c r="X19" i="37" s="1"/>
  <c r="X31" i="37" s="1"/>
  <c r="X21" i="37"/>
  <c r="X18" i="37"/>
  <c r="X57" i="37"/>
  <c r="X58" i="37" s="1"/>
  <c r="X55" i="37"/>
  <c r="X56" i="37" s="1"/>
  <c r="X16" i="37"/>
  <c r="X14" i="37"/>
  <c r="X53" i="37"/>
  <c r="X54" i="37" s="1"/>
  <c r="X51" i="37"/>
  <c r="X52" i="37" s="1"/>
  <c r="X12" i="37"/>
  <c r="X10" i="37"/>
  <c r="X49" i="37"/>
  <c r="X50" i="37" s="1"/>
  <c r="X34" i="35"/>
  <c r="X61" i="35"/>
  <c r="X72" i="35"/>
  <c r="X47" i="35"/>
  <c r="X45" i="35"/>
  <c r="X54" i="35"/>
  <c r="X55" i="35" s="1"/>
  <c r="X17" i="35"/>
  <c r="X32" i="35"/>
  <c r="X59" i="35"/>
  <c r="X70" i="35"/>
  <c r="X57" i="35"/>
  <c r="Y82" i="41"/>
  <c r="Y71" i="41"/>
  <c r="Y81" i="41"/>
  <c r="Y28" i="37"/>
  <c r="Y67" i="37"/>
  <c r="Y68" i="37" s="1"/>
  <c r="Y70" i="41"/>
  <c r="Y72" i="41" s="1"/>
  <c r="Y92" i="41" s="1"/>
  <c r="Y29" i="37"/>
  <c r="X67" i="37"/>
  <c r="X68" i="37" s="1"/>
  <c r="X28" i="37"/>
  <c r="Y26" i="37"/>
  <c r="Y65" i="37"/>
  <c r="Y66" i="37" s="1"/>
  <c r="Y24" i="37"/>
  <c r="Y63" i="37"/>
  <c r="Y64" i="37" s="1"/>
  <c r="Y20" i="13"/>
  <c r="Y19" i="37" s="1"/>
  <c r="Y21" i="37"/>
  <c r="Y18" i="37"/>
  <c r="Y57" i="37"/>
  <c r="Y58" i="37" s="1"/>
  <c r="Y16" i="37"/>
  <c r="Y55" i="37"/>
  <c r="Y56" i="37" s="1"/>
  <c r="Y14" i="37"/>
  <c r="Y53" i="37"/>
  <c r="Y54" i="37" s="1"/>
  <c r="Y12" i="37"/>
  <c r="Y51" i="37"/>
  <c r="Y52" i="37" s="1"/>
  <c r="Y10" i="37"/>
  <c r="Y49" i="37"/>
  <c r="Y50" i="37" s="1"/>
  <c r="Y47" i="35"/>
  <c r="Y34" i="35"/>
  <c r="Y61" i="35"/>
  <c r="Y72" i="35"/>
  <c r="Y70" i="35"/>
  <c r="Y45" i="35"/>
  <c r="Y54" i="35"/>
  <c r="Y55" i="35" s="1"/>
  <c r="Y17" i="35"/>
  <c r="Y32" i="35"/>
  <c r="Y59" i="35"/>
  <c r="Y68" i="35"/>
  <c r="Y41" i="35"/>
  <c r="Y28" i="35"/>
  <c r="Y57" i="35"/>
  <c r="Y125" i="41"/>
  <c r="X13" i="41"/>
  <c r="X14" i="41"/>
  <c r="X15" i="41"/>
  <c r="X16" i="41"/>
  <c r="X17" i="41"/>
  <c r="X18" i="41"/>
  <c r="X19" i="41"/>
  <c r="X20" i="41"/>
  <c r="X21" i="41"/>
  <c r="X102" i="41" s="1"/>
  <c r="X22" i="41"/>
  <c r="X35" i="41"/>
  <c r="X36" i="41"/>
  <c r="X37" i="41"/>
  <c r="X84" i="41" s="1"/>
  <c r="X38" i="41"/>
  <c r="X39" i="41"/>
  <c r="X40" i="41"/>
  <c r="X114" i="41" s="1"/>
  <c r="X41" i="41"/>
  <c r="X42" i="41"/>
  <c r="X59" i="41"/>
  <c r="X60" i="41"/>
  <c r="X61" i="41"/>
  <c r="X62" i="41"/>
  <c r="X63" i="41"/>
  <c r="X64" i="41"/>
  <c r="X65" i="41"/>
  <c r="X25" i="41"/>
  <c r="X26" i="41"/>
  <c r="X27" i="41"/>
  <c r="X28" i="41"/>
  <c r="X29" i="41"/>
  <c r="X83" i="41" s="1"/>
  <c r="X30" i="41"/>
  <c r="X31" i="41"/>
  <c r="X32" i="41"/>
  <c r="X45" i="41"/>
  <c r="X46" i="41"/>
  <c r="X47" i="41"/>
  <c r="X48" i="41"/>
  <c r="X50" i="41"/>
  <c r="X51" i="41"/>
  <c r="X52" i="41"/>
  <c r="X53" i="41"/>
  <c r="X54" i="41"/>
  <c r="X103" i="41" s="1"/>
  <c r="X55" i="41"/>
  <c r="X56" i="41"/>
  <c r="V63" i="31"/>
  <c r="V24" i="37"/>
  <c r="V63" i="37"/>
  <c r="V64" i="37" s="1"/>
  <c r="V26" i="37"/>
  <c r="V65" i="37"/>
  <c r="V66" i="37" s="1"/>
  <c r="V20" i="13"/>
  <c r="V18" i="37"/>
  <c r="V57" i="37"/>
  <c r="V58" i="37" s="1"/>
  <c r="V55" i="37"/>
  <c r="V56" i="37" s="1"/>
  <c r="V16" i="37"/>
  <c r="V30" i="37"/>
  <c r="V69" i="37"/>
  <c r="V70" i="37" s="1"/>
  <c r="V53" i="37"/>
  <c r="V54" i="37" s="1"/>
  <c r="V14" i="37"/>
  <c r="V12" i="37"/>
  <c r="V51" i="37"/>
  <c r="V52" i="37" s="1"/>
  <c r="V10" i="37"/>
  <c r="V49" i="37"/>
  <c r="V50" i="37" s="1"/>
  <c r="V61" i="35"/>
  <c r="V34" i="35"/>
  <c r="V47" i="35"/>
  <c r="V72" i="35"/>
  <c r="V17" i="35"/>
  <c r="V32" i="35"/>
  <c r="V59" i="35"/>
  <c r="V54" i="35"/>
  <c r="V55" i="35" s="1"/>
  <c r="V70" i="35"/>
  <c r="V45" i="35"/>
  <c r="V23" i="35"/>
  <c r="V24" i="35"/>
  <c r="V25" i="35"/>
  <c r="V38" i="35"/>
  <c r="V51" i="35"/>
  <c r="V65" i="35"/>
  <c r="V66" i="35" s="1"/>
  <c r="V76" i="35"/>
  <c r="V77" i="35" s="1"/>
  <c r="V22" i="35"/>
  <c r="V28" i="35"/>
  <c r="V41" i="35"/>
  <c r="V57" i="35"/>
  <c r="V68" i="35"/>
  <c r="V86" i="40"/>
  <c r="V86" i="41"/>
  <c r="V19" i="34"/>
  <c r="W119" i="41"/>
  <c r="V119" i="40"/>
  <c r="V119" i="41"/>
  <c r="W86" i="41"/>
  <c r="V109" i="41"/>
  <c r="V45" i="30"/>
  <c r="V117" i="41"/>
  <c r="V44" i="41"/>
  <c r="V115" i="41" s="1"/>
  <c r="V34" i="41"/>
  <c r="V58" i="41" s="1"/>
  <c r="V110" i="41"/>
  <c r="V112" i="41" s="1"/>
  <c r="V71" i="41"/>
  <c r="V72" i="41" s="1"/>
  <c r="V91" i="41" s="1"/>
  <c r="V127" i="41"/>
  <c r="L61" i="25"/>
  <c r="J33" i="25"/>
  <c r="K32" i="25"/>
  <c r="L31" i="25"/>
  <c r="L40" i="25" s="1"/>
  <c r="K28" i="25"/>
  <c r="K24" i="25"/>
  <c r="K20" i="25"/>
  <c r="K16" i="25"/>
  <c r="K12" i="25"/>
  <c r="L69" i="25"/>
  <c r="L53" i="25"/>
  <c r="L65" i="25"/>
  <c r="L57" i="25"/>
  <c r="L49" i="25"/>
  <c r="L83" i="8"/>
  <c r="L82" i="8"/>
  <c r="L85" i="8"/>
  <c r="J56" i="24"/>
  <c r="J43" i="24"/>
  <c r="J23" i="24"/>
  <c r="J39" i="24"/>
  <c r="K38" i="24"/>
  <c r="L37" i="24"/>
  <c r="J35" i="24"/>
  <c r="K34" i="24"/>
  <c r="L33" i="24"/>
  <c r="J31" i="24"/>
  <c r="K30" i="24"/>
  <c r="L29" i="24"/>
  <c r="J26" i="24"/>
  <c r="L24" i="24"/>
  <c r="J22" i="24"/>
  <c r="K20" i="24"/>
  <c r="K16" i="24"/>
  <c r="K12" i="24"/>
  <c r="J25" i="24"/>
  <c r="V44" i="30"/>
  <c r="V56" i="30"/>
  <c r="V58" i="30" s="1"/>
  <c r="V40" i="30"/>
  <c r="V35" i="30"/>
  <c r="V38" i="30" s="1"/>
  <c r="L46" i="27"/>
  <c r="L30" i="27"/>
  <c r="L26" i="27"/>
  <c r="L18" i="27"/>
  <c r="L14" i="27"/>
  <c r="L10" i="27"/>
  <c r="L33" i="27"/>
  <c r="L29" i="27"/>
  <c r="L25" i="27"/>
  <c r="L21" i="27"/>
  <c r="L17" i="27"/>
  <c r="L9" i="27"/>
  <c r="L36" i="27"/>
  <c r="L32" i="27"/>
  <c r="L28" i="27"/>
  <c r="L62" i="27" s="1"/>
  <c r="L24" i="27"/>
  <c r="L20" i="27"/>
  <c r="L16" i="27"/>
  <c r="L63" i="19"/>
  <c r="L49" i="19"/>
  <c r="L40" i="19"/>
  <c r="L41" i="19" s="1"/>
  <c r="L44" i="19"/>
  <c r="L56" i="19"/>
  <c r="L58" i="19" s="1"/>
  <c r="L64" i="19" s="1"/>
  <c r="V75" i="41"/>
  <c r="V100" i="41"/>
  <c r="V117" i="40"/>
  <c r="V79" i="40"/>
  <c r="V44" i="40"/>
  <c r="V115" i="40" s="1"/>
  <c r="V109" i="40"/>
  <c r="V85" i="40"/>
  <c r="X85" i="40"/>
  <c r="V72" i="40"/>
  <c r="V127" i="40" s="1"/>
  <c r="X44" i="40"/>
  <c r="X115" i="40" s="1"/>
  <c r="X34" i="40"/>
  <c r="X68" i="40" s="1"/>
  <c r="Y85" i="40"/>
  <c r="V110" i="40"/>
  <c r="V112" i="40" s="1"/>
  <c r="V34" i="40"/>
  <c r="Y24" i="40"/>
  <c r="Y34" i="40" s="1"/>
  <c r="Y100" i="40" s="1"/>
  <c r="Y123" i="40"/>
  <c r="Y126" i="40" s="1"/>
  <c r="Y125" i="40"/>
  <c r="Y44" i="40"/>
  <c r="Y115" i="40" s="1"/>
  <c r="Y108" i="40"/>
  <c r="Y116" i="40"/>
  <c r="Y117" i="40"/>
  <c r="Y70" i="40"/>
  <c r="L62" i="4"/>
  <c r="L54" i="4"/>
  <c r="L103" i="4" s="1"/>
  <c r="L42" i="4"/>
  <c r="L18" i="4"/>
  <c r="L14" i="4"/>
  <c r="L10" i="4"/>
  <c r="L65" i="4"/>
  <c r="L61" i="4"/>
  <c r="L53" i="4"/>
  <c r="L45" i="4"/>
  <c r="L41" i="4"/>
  <c r="L37" i="4"/>
  <c r="L84" i="4" s="1"/>
  <c r="L29" i="4"/>
  <c r="L83" i="4" s="1"/>
  <c r="L25" i="4"/>
  <c r="L21" i="4"/>
  <c r="L102" i="4" s="1"/>
  <c r="L17" i="4"/>
  <c r="L9" i="4"/>
  <c r="L50" i="4"/>
  <c r="L46" i="4"/>
  <c r="L38" i="4"/>
  <c r="L30" i="4"/>
  <c r="L26" i="4"/>
  <c r="L22" i="4"/>
  <c r="L124" i="4"/>
  <c r="L64" i="4"/>
  <c r="L60" i="4"/>
  <c r="L56" i="4"/>
  <c r="L52" i="4"/>
  <c r="L48" i="4"/>
  <c r="L40" i="4"/>
  <c r="L114" i="4" s="1"/>
  <c r="L36" i="4"/>
  <c r="L32" i="4"/>
  <c r="L28" i="4"/>
  <c r="L121" i="4" s="1"/>
  <c r="L20" i="4"/>
  <c r="L16" i="4"/>
  <c r="L12" i="4"/>
  <c r="L44" i="18"/>
  <c r="L115" i="18" s="1"/>
  <c r="L34" i="18"/>
  <c r="L100" i="18" s="1"/>
  <c r="L109" i="18"/>
  <c r="L117" i="18"/>
  <c r="L49" i="18"/>
  <c r="L70" i="18"/>
  <c r="L116" i="18"/>
  <c r="L125" i="18"/>
  <c r="L123" i="18"/>
  <c r="L126" i="18" s="1"/>
  <c r="L82" i="18"/>
  <c r="L85" i="18" s="1"/>
  <c r="V92" i="12"/>
  <c r="V95" i="12" s="1"/>
  <c r="V24" i="12"/>
  <c r="V65" i="12"/>
  <c r="V66" i="12" s="1"/>
  <c r="V63" i="12"/>
  <c r="V64" i="12" s="1"/>
  <c r="M46" i="2"/>
  <c r="L65" i="11"/>
  <c r="L66" i="11" s="1"/>
  <c r="L25" i="11"/>
  <c r="L26" i="11"/>
  <c r="L75" i="11"/>
  <c r="L79" i="11"/>
  <c r="L80" i="11" s="1"/>
  <c r="L77" i="11"/>
  <c r="L78" i="11" s="1"/>
  <c r="L63" i="11"/>
  <c r="L64" i="11" s="1"/>
  <c r="L54" i="11"/>
  <c r="L58" i="6"/>
  <c r="L59" i="6" s="1"/>
  <c r="L50" i="6"/>
  <c r="L51" i="6" s="1"/>
  <c r="L54" i="6"/>
  <c r="L55" i="6" s="1"/>
  <c r="L17" i="6"/>
  <c r="L112" i="6"/>
  <c r="L108" i="6"/>
  <c r="L56" i="6"/>
  <c r="L57" i="6" s="1"/>
  <c r="J46" i="18"/>
  <c r="K46" i="18"/>
  <c r="Y117" i="41" l="1"/>
  <c r="Y92" i="35"/>
  <c r="L12" i="27"/>
  <c r="L13" i="27" s="1"/>
  <c r="L86" i="8"/>
  <c r="L91" i="8" s="1"/>
  <c r="Y13" i="31"/>
  <c r="Y39" i="31" s="1"/>
  <c r="L66" i="4"/>
  <c r="L123" i="4" s="1"/>
  <c r="L126" i="4" s="1"/>
  <c r="L49" i="4"/>
  <c r="Y34" i="31"/>
  <c r="L34" i="27"/>
  <c r="Y105" i="41"/>
  <c r="Y75" i="41"/>
  <c r="Y91" i="41"/>
  <c r="Y110" i="40"/>
  <c r="L13" i="4"/>
  <c r="L112" i="18"/>
  <c r="Y31" i="37"/>
  <c r="Y33" i="37" s="1"/>
  <c r="Y24" i="13"/>
  <c r="Y75" i="13" s="1"/>
  <c r="Y64" i="34"/>
  <c r="Y50" i="34"/>
  <c r="Y37" i="34"/>
  <c r="Y75" i="34"/>
  <c r="L20" i="25"/>
  <c r="L59" i="25"/>
  <c r="L42" i="25"/>
  <c r="L38" i="25"/>
  <c r="L71" i="25"/>
  <c r="L45" i="25"/>
  <c r="L38" i="26"/>
  <c r="L43" i="26"/>
  <c r="L42" i="26"/>
  <c r="L46" i="26"/>
  <c r="L44" i="26"/>
  <c r="L39" i="26"/>
  <c r="L23" i="24"/>
  <c r="L25" i="24"/>
  <c r="L77" i="24"/>
  <c r="L78" i="24" s="1"/>
  <c r="L26" i="24"/>
  <c r="L39" i="24"/>
  <c r="L40" i="24" s="1"/>
  <c r="L22" i="24"/>
  <c r="L66" i="24"/>
  <c r="L67" i="24" s="1"/>
  <c r="L52" i="24"/>
  <c r="L53" i="24" s="1"/>
  <c r="L57" i="4"/>
  <c r="L111" i="4" s="1"/>
  <c r="L23" i="4"/>
  <c r="L104" i="4"/>
  <c r="L43" i="4"/>
  <c r="L109" i="4" s="1"/>
  <c r="L14" i="8"/>
  <c r="L60" i="8"/>
  <c r="L61" i="8" s="1"/>
  <c r="L55" i="8"/>
  <c r="L56" i="8" s="1"/>
  <c r="L71" i="8"/>
  <c r="L46" i="8"/>
  <c r="L47" i="8" s="1"/>
  <c r="L33" i="8"/>
  <c r="L34" i="8" s="1"/>
  <c r="L41" i="26"/>
  <c r="L59" i="26"/>
  <c r="L60" i="26" s="1"/>
  <c r="L20" i="26"/>
  <c r="L19" i="8"/>
  <c r="L65" i="2"/>
  <c r="L66" i="2" s="1"/>
  <c r="L14" i="2"/>
  <c r="L63" i="2"/>
  <c r="L64" i="2" s="1"/>
  <c r="M49" i="17"/>
  <c r="L45" i="26"/>
  <c r="L40" i="26"/>
  <c r="L63" i="27"/>
  <c r="L33" i="26"/>
  <c r="L71" i="26"/>
  <c r="L36" i="26"/>
  <c r="L24" i="2"/>
  <c r="L87" i="4" s="1"/>
  <c r="Y90" i="41"/>
  <c r="Y112" i="41"/>
  <c r="Y127" i="41"/>
  <c r="Y116" i="41"/>
  <c r="Y85" i="41"/>
  <c r="Y34" i="41"/>
  <c r="Y58" i="41" s="1"/>
  <c r="Y26" i="13"/>
  <c r="Y25" i="13"/>
  <c r="Y79" i="13"/>
  <c r="Y80" i="13" s="1"/>
  <c r="Y44" i="41"/>
  <c r="Y115" i="41" s="1"/>
  <c r="Y19" i="35"/>
  <c r="Y65" i="13"/>
  <c r="Y66" i="13" s="1"/>
  <c r="Y14" i="13"/>
  <c r="Y63" i="13"/>
  <c r="Y64" i="13" s="1"/>
  <c r="X112" i="40"/>
  <c r="X105" i="40"/>
  <c r="X92" i="40"/>
  <c r="X26" i="34"/>
  <c r="X75" i="34"/>
  <c r="X42" i="31"/>
  <c r="X39" i="31"/>
  <c r="X55" i="31"/>
  <c r="X57" i="31" s="1"/>
  <c r="X63" i="31" s="1"/>
  <c r="X34" i="31"/>
  <c r="X92" i="35"/>
  <c r="X86" i="41"/>
  <c r="X27" i="34"/>
  <c r="X100" i="40"/>
  <c r="X99" i="40"/>
  <c r="X58" i="40"/>
  <c r="X106" i="40"/>
  <c r="X94" i="40"/>
  <c r="X95" i="40"/>
  <c r="X96" i="40"/>
  <c r="X128" i="40"/>
  <c r="X127" i="40"/>
  <c r="X91" i="40"/>
  <c r="X90" i="40"/>
  <c r="X119" i="41"/>
  <c r="X118" i="41"/>
  <c r="W72" i="41"/>
  <c r="W91" i="41" s="1"/>
  <c r="W75" i="41"/>
  <c r="W96" i="41" s="1"/>
  <c r="Y86" i="41"/>
  <c r="Y119" i="41"/>
  <c r="X44" i="37"/>
  <c r="X45" i="37"/>
  <c r="X28" i="35"/>
  <c r="X41" i="35"/>
  <c r="X65" i="13"/>
  <c r="X66" i="13" s="1"/>
  <c r="X14" i="13"/>
  <c r="X63" i="13"/>
  <c r="X64" i="13" s="1"/>
  <c r="X19" i="35"/>
  <c r="X24" i="13"/>
  <c r="X66" i="41"/>
  <c r="X123" i="41" s="1"/>
  <c r="X126" i="41" s="1"/>
  <c r="X49" i="41"/>
  <c r="X23" i="41"/>
  <c r="X24" i="41" s="1"/>
  <c r="X57" i="41"/>
  <c r="X111" i="41" s="1"/>
  <c r="W41" i="35"/>
  <c r="W57" i="35"/>
  <c r="W28" i="35"/>
  <c r="W19" i="37"/>
  <c r="W24" i="13"/>
  <c r="W26" i="35"/>
  <c r="W34" i="31"/>
  <c r="W42" i="31"/>
  <c r="W39" i="31"/>
  <c r="W55" i="31"/>
  <c r="W57" i="31" s="1"/>
  <c r="W63" i="31" s="1"/>
  <c r="W43" i="31"/>
  <c r="W123" i="41"/>
  <c r="W126" i="41" s="1"/>
  <c r="W105" i="41"/>
  <c r="W88" i="41"/>
  <c r="Y20" i="37"/>
  <c r="Y59" i="37"/>
  <c r="Y60" i="37" s="1"/>
  <c r="Y88" i="41"/>
  <c r="X37" i="37"/>
  <c r="X40" i="37"/>
  <c r="X41" i="37"/>
  <c r="X20" i="37"/>
  <c r="X59" i="37"/>
  <c r="X60" i="37" s="1"/>
  <c r="X43" i="41"/>
  <c r="X109" i="41" s="1"/>
  <c r="X70" i="41"/>
  <c r="X88" i="41" s="1"/>
  <c r="X82" i="41"/>
  <c r="Y44" i="37"/>
  <c r="X33" i="41"/>
  <c r="X81" i="41"/>
  <c r="X71" i="41"/>
  <c r="Y36" i="35"/>
  <c r="Y63" i="35"/>
  <c r="Y25" i="35"/>
  <c r="Y74" i="35"/>
  <c r="Y49" i="35"/>
  <c r="Y69" i="37"/>
  <c r="Y70" i="37" s="1"/>
  <c r="Y30" i="37"/>
  <c r="Y46" i="37"/>
  <c r="Y79" i="41"/>
  <c r="X32" i="37"/>
  <c r="X33" i="37"/>
  <c r="X71" i="37"/>
  <c r="X72" i="37" s="1"/>
  <c r="X104" i="41"/>
  <c r="Y22" i="37"/>
  <c r="Y61" i="37"/>
  <c r="Y62" i="37" s="1"/>
  <c r="Y45" i="37"/>
  <c r="X74" i="35"/>
  <c r="X49" i="35"/>
  <c r="X36" i="35"/>
  <c r="X63" i="35"/>
  <c r="X36" i="37"/>
  <c r="X38" i="37"/>
  <c r="X39" i="37"/>
  <c r="X42" i="37"/>
  <c r="X61" i="37"/>
  <c r="X62" i="37" s="1"/>
  <c r="X22" i="37"/>
  <c r="X43" i="37"/>
  <c r="X46" i="37"/>
  <c r="V24" i="13"/>
  <c r="V19" i="37"/>
  <c r="V26" i="12"/>
  <c r="V87" i="40"/>
  <c r="V120" i="40"/>
  <c r="V26" i="35"/>
  <c r="V36" i="35"/>
  <c r="V63" i="35"/>
  <c r="V74" i="35"/>
  <c r="V49" i="35"/>
  <c r="V77" i="34"/>
  <c r="V78" i="34" s="1"/>
  <c r="V22" i="34"/>
  <c r="V23" i="34"/>
  <c r="V24" i="34"/>
  <c r="V25" i="34"/>
  <c r="V26" i="34"/>
  <c r="V39" i="34"/>
  <c r="V40" i="34" s="1"/>
  <c r="V52" i="34"/>
  <c r="V53" i="34" s="1"/>
  <c r="V66" i="34"/>
  <c r="V67" i="34" s="1"/>
  <c r="M56" i="17"/>
  <c r="V90" i="41"/>
  <c r="V99" i="41"/>
  <c r="V68" i="41"/>
  <c r="V105" i="40"/>
  <c r="V105" i="41"/>
  <c r="V92" i="41"/>
  <c r="V75" i="40"/>
  <c r="V47" i="30" s="1"/>
  <c r="L44" i="25"/>
  <c r="L33" i="25"/>
  <c r="L73" i="25" s="1"/>
  <c r="M42" i="17" s="1"/>
  <c r="L32" i="25"/>
  <c r="L43" i="25"/>
  <c r="L41" i="25"/>
  <c r="L36" i="25"/>
  <c r="L46" i="25"/>
  <c r="L39" i="25"/>
  <c r="L37" i="25"/>
  <c r="J34" i="25"/>
  <c r="K34" i="25"/>
  <c r="J32" i="24"/>
  <c r="K32" i="24"/>
  <c r="J36" i="24"/>
  <c r="K36" i="24"/>
  <c r="K40" i="24"/>
  <c r="J40" i="24"/>
  <c r="L30" i="24"/>
  <c r="L34" i="24"/>
  <c r="L38" i="24"/>
  <c r="J27" i="24"/>
  <c r="L40" i="27"/>
  <c r="L44" i="27"/>
  <c r="L56" i="27"/>
  <c r="L49" i="27"/>
  <c r="L57" i="27"/>
  <c r="L22" i="27"/>
  <c r="L43" i="27"/>
  <c r="V96" i="41"/>
  <c r="V95" i="41"/>
  <c r="V94" i="41"/>
  <c r="V106" i="41"/>
  <c r="V128" i="41"/>
  <c r="V97" i="41"/>
  <c r="Y99" i="41"/>
  <c r="V92" i="40"/>
  <c r="V91" i="40"/>
  <c r="V90" i="40"/>
  <c r="V93" i="40"/>
  <c r="V128" i="40"/>
  <c r="V98" i="40" s="1"/>
  <c r="V94" i="40"/>
  <c r="V99" i="40"/>
  <c r="V68" i="40"/>
  <c r="V58" i="40"/>
  <c r="V100" i="40"/>
  <c r="Y112" i="40"/>
  <c r="Y72" i="40"/>
  <c r="Y79" i="40"/>
  <c r="Y88" i="40"/>
  <c r="Y58" i="40"/>
  <c r="Y68" i="40"/>
  <c r="Y99" i="40"/>
  <c r="L82" i="4"/>
  <c r="L81" i="4"/>
  <c r="L86" i="4"/>
  <c r="M61" i="17" s="1"/>
  <c r="L33" i="4"/>
  <c r="L71" i="4"/>
  <c r="L53" i="27" s="1"/>
  <c r="L119" i="4"/>
  <c r="L118" i="4"/>
  <c r="L70" i="4"/>
  <c r="L88" i="4" s="1"/>
  <c r="L79" i="18"/>
  <c r="L88" i="18"/>
  <c r="L72" i="18"/>
  <c r="L68" i="18"/>
  <c r="L58" i="18"/>
  <c r="L99" i="18"/>
  <c r="V28" i="12"/>
  <c r="V81" i="12"/>
  <c r="V98" i="12"/>
  <c r="V75" i="12"/>
  <c r="V79" i="12"/>
  <c r="V80" i="12" s="1"/>
  <c r="V25" i="12"/>
  <c r="L28" i="11"/>
  <c r="L98" i="11"/>
  <c r="L81" i="11"/>
  <c r="L76" i="11"/>
  <c r="L82" i="11"/>
  <c r="L113" i="6"/>
  <c r="L109" i="6"/>
  <c r="J45" i="18"/>
  <c r="J36" i="18"/>
  <c r="K36" i="18"/>
  <c r="K35" i="18"/>
  <c r="Y94" i="41" l="1"/>
  <c r="Y39" i="37"/>
  <c r="Y32" i="37"/>
  <c r="L90" i="8"/>
  <c r="Y37" i="37"/>
  <c r="L92" i="8"/>
  <c r="L88" i="8"/>
  <c r="Y55" i="31"/>
  <c r="Y57" i="31" s="1"/>
  <c r="Y63" i="31" s="1"/>
  <c r="Y43" i="37"/>
  <c r="Y42" i="31"/>
  <c r="Y43" i="31"/>
  <c r="Y42" i="37"/>
  <c r="Y40" i="37"/>
  <c r="Y71" i="37"/>
  <c r="Y72" i="37" s="1"/>
  <c r="Y41" i="37"/>
  <c r="Y38" i="37"/>
  <c r="Y36" i="37"/>
  <c r="L89" i="8"/>
  <c r="L125" i="4"/>
  <c r="L35" i="27"/>
  <c r="Y97" i="41"/>
  <c r="Y106" i="41"/>
  <c r="Y128" i="41"/>
  <c r="Y95" i="41"/>
  <c r="Y96" i="41"/>
  <c r="L24" i="4"/>
  <c r="L110" i="4" s="1"/>
  <c r="L48" i="19"/>
  <c r="L51" i="19"/>
  <c r="L47" i="26"/>
  <c r="L120" i="4"/>
  <c r="L47" i="25"/>
  <c r="L27" i="24"/>
  <c r="L117" i="4"/>
  <c r="L73" i="26"/>
  <c r="L77" i="8"/>
  <c r="L52" i="8"/>
  <c r="L39" i="8"/>
  <c r="L20" i="8"/>
  <c r="L66" i="8"/>
  <c r="L67" i="8" s="1"/>
  <c r="L23" i="8"/>
  <c r="L22" i="8"/>
  <c r="L25" i="8"/>
  <c r="L26" i="8"/>
  <c r="M40" i="17"/>
  <c r="L25" i="2"/>
  <c r="L79" i="2"/>
  <c r="L80" i="2" s="1"/>
  <c r="L75" i="2"/>
  <c r="L26" i="2"/>
  <c r="L24" i="8"/>
  <c r="Y24" i="35"/>
  <c r="Y76" i="35"/>
  <c r="Y77" i="35" s="1"/>
  <c r="Y51" i="35"/>
  <c r="Y38" i="35"/>
  <c r="Y65" i="35"/>
  <c r="Y66" i="35" s="1"/>
  <c r="Y23" i="35"/>
  <c r="Y22" i="35"/>
  <c r="Y76" i="13"/>
  <c r="Y82" i="13"/>
  <c r="Y100" i="41"/>
  <c r="Y68" i="41"/>
  <c r="Y28" i="13"/>
  <c r="Y98" i="13"/>
  <c r="Y81" i="13"/>
  <c r="W97" i="41"/>
  <c r="X85" i="41"/>
  <c r="X125" i="41"/>
  <c r="W90" i="41"/>
  <c r="W128" i="41"/>
  <c r="W127" i="41"/>
  <c r="W94" i="41"/>
  <c r="W92" i="41"/>
  <c r="W95" i="41"/>
  <c r="W106" i="41"/>
  <c r="X117" i="41"/>
  <c r="X22" i="35"/>
  <c r="X24" i="35"/>
  <c r="X23" i="35"/>
  <c r="X76" i="35"/>
  <c r="X77" i="35" s="1"/>
  <c r="X51" i="35"/>
  <c r="X65" i="35"/>
  <c r="X66" i="35" s="1"/>
  <c r="X38" i="35"/>
  <c r="X25" i="35"/>
  <c r="X26" i="13"/>
  <c r="X79" i="13"/>
  <c r="X80" i="13" s="1"/>
  <c r="X75" i="13"/>
  <c r="X25" i="13"/>
  <c r="X72" i="41"/>
  <c r="X105" i="41" s="1"/>
  <c r="W26" i="13"/>
  <c r="W25" i="13"/>
  <c r="W75" i="13"/>
  <c r="W79" i="13"/>
  <c r="W80" i="13" s="1"/>
  <c r="W20" i="37"/>
  <c r="W59" i="37"/>
  <c r="W60" i="37" s="1"/>
  <c r="W31" i="37"/>
  <c r="X34" i="41"/>
  <c r="X110" i="41"/>
  <c r="X47" i="37"/>
  <c r="Y47" i="37"/>
  <c r="X108" i="41"/>
  <c r="X116" i="41"/>
  <c r="X44" i="41"/>
  <c r="X115" i="41" s="1"/>
  <c r="X34" i="37"/>
  <c r="X73" i="37"/>
  <c r="X74" i="37" s="1"/>
  <c r="Y34" i="37"/>
  <c r="Y73" i="37"/>
  <c r="Y74" i="37" s="1"/>
  <c r="X79" i="41"/>
  <c r="V20" i="37"/>
  <c r="V59" i="37"/>
  <c r="V60" i="37" s="1"/>
  <c r="V31" i="37"/>
  <c r="Y87" i="41"/>
  <c r="V120" i="41"/>
  <c r="X120" i="41"/>
  <c r="V79" i="13"/>
  <c r="V80" i="13" s="1"/>
  <c r="V26" i="13"/>
  <c r="W87" i="41"/>
  <c r="X87" i="41"/>
  <c r="V87" i="41"/>
  <c r="V25" i="13"/>
  <c r="V75" i="13"/>
  <c r="Y120" i="41"/>
  <c r="W120" i="41"/>
  <c r="V27" i="34"/>
  <c r="L72" i="4"/>
  <c r="L75" i="4" s="1"/>
  <c r="L52" i="27" s="1"/>
  <c r="M57" i="17"/>
  <c r="L45" i="27"/>
  <c r="L79" i="4"/>
  <c r="V106" i="40"/>
  <c r="V97" i="40"/>
  <c r="V96" i="40"/>
  <c r="V95" i="40"/>
  <c r="L34" i="25"/>
  <c r="L58" i="27"/>
  <c r="L64" i="27" s="1"/>
  <c r="M60" i="17" s="1"/>
  <c r="Y91" i="40"/>
  <c r="Y90" i="40"/>
  <c r="Y75" i="40"/>
  <c r="Y92" i="40"/>
  <c r="Y105" i="40"/>
  <c r="Y127" i="40"/>
  <c r="L85" i="4"/>
  <c r="L44" i="4"/>
  <c r="L115" i="4" s="1"/>
  <c r="L116" i="4"/>
  <c r="L108" i="4"/>
  <c r="L91" i="18"/>
  <c r="L75" i="18"/>
  <c r="L92" i="18"/>
  <c r="L105" i="18"/>
  <c r="L90" i="18"/>
  <c r="L127" i="18"/>
  <c r="L129" i="18" s="1"/>
  <c r="V82" i="12"/>
  <c r="V76" i="12"/>
  <c r="V30" i="12"/>
  <c r="V99" i="12"/>
  <c r="L99" i="11"/>
  <c r="L30" i="11"/>
  <c r="K45" i="18"/>
  <c r="L93" i="8" l="1"/>
  <c r="L34" i="4"/>
  <c r="L100" i="4" s="1"/>
  <c r="L112" i="4"/>
  <c r="L47" i="19"/>
  <c r="L50" i="19"/>
  <c r="L52" i="19"/>
  <c r="M26" i="17"/>
  <c r="L91" i="4"/>
  <c r="L105" i="4"/>
  <c r="L92" i="4"/>
  <c r="L51" i="27"/>
  <c r="L27" i="8"/>
  <c r="L28" i="2"/>
  <c r="L81" i="2"/>
  <c r="M51" i="17" s="1"/>
  <c r="M50" i="17"/>
  <c r="L98" i="2"/>
  <c r="M36" i="17"/>
  <c r="L40" i="8"/>
  <c r="L76" i="2"/>
  <c r="L82" i="2"/>
  <c r="M38" i="17"/>
  <c r="L53" i="8"/>
  <c r="Y99" i="13"/>
  <c r="Y30" i="13"/>
  <c r="Y26" i="35"/>
  <c r="X112" i="41"/>
  <c r="X75" i="41"/>
  <c r="X106" i="41" s="1"/>
  <c r="X92" i="41"/>
  <c r="X90" i="41"/>
  <c r="X91" i="41"/>
  <c r="X76" i="13"/>
  <c r="X82" i="13"/>
  <c r="X98" i="13"/>
  <c r="X81" i="13"/>
  <c r="X28" i="13"/>
  <c r="X26" i="35"/>
  <c r="X127" i="41"/>
  <c r="W71" i="37"/>
  <c r="W72" i="37" s="1"/>
  <c r="W32" i="37"/>
  <c r="W33" i="37"/>
  <c r="W38" i="37"/>
  <c r="W43" i="37"/>
  <c r="W37" i="37"/>
  <c r="W45" i="37"/>
  <c r="W36" i="37"/>
  <c r="W44" i="37"/>
  <c r="W39" i="37"/>
  <c r="W46" i="37"/>
  <c r="W40" i="37"/>
  <c r="W42" i="37"/>
  <c r="W82" i="13"/>
  <c r="W76" i="13"/>
  <c r="W41" i="37"/>
  <c r="W28" i="13"/>
  <c r="W81" i="13"/>
  <c r="W98" i="13"/>
  <c r="X58" i="41"/>
  <c r="X68" i="41"/>
  <c r="X100" i="41"/>
  <c r="X99" i="41"/>
  <c r="W93" i="41"/>
  <c r="V28" i="13"/>
  <c r="Y93" i="41"/>
  <c r="V98" i="13"/>
  <c r="V81" i="13"/>
  <c r="V93" i="41"/>
  <c r="W98" i="41"/>
  <c r="V98" i="41"/>
  <c r="V76" i="13"/>
  <c r="V82" i="13"/>
  <c r="V33" i="37"/>
  <c r="V40" i="37"/>
  <c r="V44" i="37"/>
  <c r="V71" i="37"/>
  <c r="V72" i="37" s="1"/>
  <c r="V37" i="37"/>
  <c r="V41" i="37"/>
  <c r="V45" i="37"/>
  <c r="V38" i="37"/>
  <c r="V42" i="37"/>
  <c r="V46" i="37"/>
  <c r="V36" i="37"/>
  <c r="V39" i="37"/>
  <c r="V43" i="37"/>
  <c r="V32" i="37"/>
  <c r="Y98" i="41"/>
  <c r="M58" i="17"/>
  <c r="L47" i="27"/>
  <c r="L50" i="27"/>
  <c r="L48" i="27"/>
  <c r="L127" i="4"/>
  <c r="Y95" i="40"/>
  <c r="Y94" i="40"/>
  <c r="Y96" i="40"/>
  <c r="Y106" i="40"/>
  <c r="Y128" i="40"/>
  <c r="L96" i="4"/>
  <c r="L95" i="4"/>
  <c r="L93" i="4"/>
  <c r="M59" i="17" s="1"/>
  <c r="L97" i="4"/>
  <c r="L106" i="4"/>
  <c r="L94" i="4"/>
  <c r="L128" i="4"/>
  <c r="L95" i="18"/>
  <c r="L128" i="18"/>
  <c r="L96" i="18"/>
  <c r="L94" i="18"/>
  <c r="L93" i="18"/>
  <c r="L97" i="18"/>
  <c r="L106" i="18"/>
  <c r="V102" i="12"/>
  <c r="V101" i="12"/>
  <c r="V37" i="12"/>
  <c r="V43" i="12" s="1"/>
  <c r="V45" i="12" s="1"/>
  <c r="V47" i="12" s="1"/>
  <c r="V103" i="12"/>
  <c r="V83" i="12"/>
  <c r="V85" i="12"/>
  <c r="V86" i="12" s="1"/>
  <c r="L103" i="11"/>
  <c r="L37" i="11"/>
  <c r="L43" i="11" s="1"/>
  <c r="L45" i="11" s="1"/>
  <c r="L47" i="11" s="1"/>
  <c r="L101" i="11"/>
  <c r="L83" i="11"/>
  <c r="L102" i="11"/>
  <c r="L85" i="11"/>
  <c r="L86" i="11" s="1"/>
  <c r="U36" i="30"/>
  <c r="U35" i="31" s="1"/>
  <c r="U33" i="30"/>
  <c r="U32" i="30"/>
  <c r="U31" i="30"/>
  <c r="U30" i="31" s="1"/>
  <c r="U30" i="30"/>
  <c r="U29" i="31" s="1"/>
  <c r="U29" i="30"/>
  <c r="U28" i="30"/>
  <c r="U26" i="30"/>
  <c r="U25" i="30"/>
  <c r="U57" i="30" s="1"/>
  <c r="U24" i="30"/>
  <c r="U21" i="30"/>
  <c r="U21" i="31" s="1"/>
  <c r="U20" i="30"/>
  <c r="U18" i="30"/>
  <c r="U16" i="30"/>
  <c r="U14" i="30"/>
  <c r="U14" i="31" s="1"/>
  <c r="U10" i="30"/>
  <c r="U10" i="31" s="1"/>
  <c r="U9" i="30"/>
  <c r="T5" i="31"/>
  <c r="U5" i="31"/>
  <c r="T6" i="31"/>
  <c r="U6" i="31"/>
  <c r="T7" i="31"/>
  <c r="T27" i="31" s="1"/>
  <c r="T61" i="31" s="1"/>
  <c r="U7" i="31"/>
  <c r="T9" i="31"/>
  <c r="T10" i="31"/>
  <c r="T14" i="31"/>
  <c r="T56" i="31" s="1"/>
  <c r="T16" i="31"/>
  <c r="T17" i="31"/>
  <c r="T18" i="31"/>
  <c r="T20" i="31"/>
  <c r="U20" i="31"/>
  <c r="T21" i="31"/>
  <c r="T24" i="31"/>
  <c r="T25" i="31"/>
  <c r="T26" i="31"/>
  <c r="T28" i="31"/>
  <c r="T29" i="31"/>
  <c r="T31" i="31"/>
  <c r="U31" i="31"/>
  <c r="T35" i="31"/>
  <c r="T45" i="31"/>
  <c r="T60" i="31"/>
  <c r="U60" i="31"/>
  <c r="U5" i="30"/>
  <c r="K5" i="27"/>
  <c r="K6" i="27"/>
  <c r="K7" i="27"/>
  <c r="K20" i="27" s="1"/>
  <c r="K14" i="27"/>
  <c r="K18" i="27"/>
  <c r="K29" i="27"/>
  <c r="K31" i="27"/>
  <c r="J15" i="19"/>
  <c r="K17" i="19"/>
  <c r="K15" i="19"/>
  <c r="K57" i="19"/>
  <c r="K61" i="19"/>
  <c r="K62" i="19"/>
  <c r="K34" i="19"/>
  <c r="K12" i="19"/>
  <c r="K13" i="19" s="1"/>
  <c r="K5" i="19"/>
  <c r="L32" i="17"/>
  <c r="M33" i="17" s="1"/>
  <c r="L34" i="17"/>
  <c r="M35" i="17" s="1"/>
  <c r="L45" i="17"/>
  <c r="R5" i="37"/>
  <c r="S5" i="37"/>
  <c r="T5" i="37"/>
  <c r="U5" i="37"/>
  <c r="R6" i="37"/>
  <c r="S6" i="37"/>
  <c r="T6" i="37"/>
  <c r="U6" i="37"/>
  <c r="R7" i="37"/>
  <c r="S7" i="37"/>
  <c r="T7" i="37"/>
  <c r="U7" i="37"/>
  <c r="K5" i="26"/>
  <c r="K6" i="26"/>
  <c r="K7" i="26"/>
  <c r="K5" i="25"/>
  <c r="K49" i="25"/>
  <c r="L50" i="25" s="1"/>
  <c r="K51" i="25"/>
  <c r="L52" i="25" s="1"/>
  <c r="K57" i="25"/>
  <c r="L58" i="25" s="1"/>
  <c r="K61" i="25"/>
  <c r="L62" i="25" s="1"/>
  <c r="K67" i="25"/>
  <c r="L68" i="25" s="1"/>
  <c r="R5" i="35"/>
  <c r="S5" i="35"/>
  <c r="T5" i="35"/>
  <c r="U5" i="35"/>
  <c r="R6" i="35"/>
  <c r="S6" i="35"/>
  <c r="T6" i="35"/>
  <c r="U6" i="35"/>
  <c r="R7" i="35"/>
  <c r="R81" i="35" s="1"/>
  <c r="S7" i="35"/>
  <c r="T7" i="35"/>
  <c r="U7" i="35"/>
  <c r="U81" i="35" s="1"/>
  <c r="R30" i="35"/>
  <c r="S30" i="35"/>
  <c r="T30" i="35"/>
  <c r="U30" i="35"/>
  <c r="R43" i="35"/>
  <c r="S43" i="35"/>
  <c r="T43" i="35"/>
  <c r="U43" i="35"/>
  <c r="R80" i="35"/>
  <c r="S80" i="35"/>
  <c r="S85" i="35" s="1"/>
  <c r="T80" i="35"/>
  <c r="U80" i="35"/>
  <c r="S81" i="35"/>
  <c r="T81" i="35"/>
  <c r="R82" i="35"/>
  <c r="S82" i="35"/>
  <c r="T82" i="35"/>
  <c r="S83" i="35"/>
  <c r="T83" i="35"/>
  <c r="U83" i="35"/>
  <c r="S84" i="35"/>
  <c r="T84" i="35"/>
  <c r="U84" i="35"/>
  <c r="S5" i="34"/>
  <c r="T5" i="34"/>
  <c r="U5" i="34"/>
  <c r="S9" i="34"/>
  <c r="S42" i="34" s="1"/>
  <c r="T9" i="34"/>
  <c r="S11" i="34"/>
  <c r="S31" i="34" s="1"/>
  <c r="T11" i="34"/>
  <c r="T31" i="34" s="1"/>
  <c r="S13" i="34"/>
  <c r="S46" i="34" s="1"/>
  <c r="T13" i="34"/>
  <c r="S15" i="34"/>
  <c r="S48" i="34" s="1"/>
  <c r="T15" i="34"/>
  <c r="T17" i="34" s="1"/>
  <c r="S29" i="34"/>
  <c r="T29" i="34"/>
  <c r="T33" i="34"/>
  <c r="S35" i="34"/>
  <c r="T35" i="34"/>
  <c r="T42" i="34"/>
  <c r="S44" i="34"/>
  <c r="T46" i="34"/>
  <c r="T48" i="34"/>
  <c r="T55" i="34"/>
  <c r="T58" i="34"/>
  <c r="T60" i="34"/>
  <c r="S62" i="34"/>
  <c r="T69" i="34"/>
  <c r="T71" i="34"/>
  <c r="T73" i="34"/>
  <c r="S88" i="34"/>
  <c r="T88" i="34"/>
  <c r="U88" i="34"/>
  <c r="S89" i="34"/>
  <c r="T89" i="34"/>
  <c r="U89" i="34"/>
  <c r="S90" i="34"/>
  <c r="T90" i="34"/>
  <c r="U90" i="34"/>
  <c r="S91" i="34"/>
  <c r="T91" i="34"/>
  <c r="U91" i="34"/>
  <c r="S92" i="34"/>
  <c r="T92" i="34"/>
  <c r="U92" i="34"/>
  <c r="R5" i="34"/>
  <c r="R9" i="34"/>
  <c r="R42" i="34" s="1"/>
  <c r="R11" i="34"/>
  <c r="R44" i="34" s="1"/>
  <c r="R13" i="34"/>
  <c r="R33" i="34" s="1"/>
  <c r="R15" i="34"/>
  <c r="R48" i="34" s="1"/>
  <c r="R29" i="34"/>
  <c r="R31" i="34"/>
  <c r="R46" i="34"/>
  <c r="R55" i="34"/>
  <c r="R60" i="34"/>
  <c r="R71" i="34"/>
  <c r="R88" i="34"/>
  <c r="R93" i="34" s="1"/>
  <c r="R89" i="34"/>
  <c r="R90" i="34"/>
  <c r="R91" i="34"/>
  <c r="R92" i="34"/>
  <c r="K5" i="8"/>
  <c r="K6" i="8"/>
  <c r="K86" i="24"/>
  <c r="K88" i="24" s="1"/>
  <c r="K5" i="24"/>
  <c r="K80" i="6"/>
  <c r="K87" i="6"/>
  <c r="K93" i="6"/>
  <c r="K94" i="6"/>
  <c r="K99" i="6" s="1"/>
  <c r="K95" i="6"/>
  <c r="K100" i="6" s="1"/>
  <c r="K103" i="6" s="1"/>
  <c r="K116" i="6"/>
  <c r="K128" i="6"/>
  <c r="K143" i="6"/>
  <c r="K158" i="6"/>
  <c r="K159" i="6"/>
  <c r="K160" i="6"/>
  <c r="K161" i="6"/>
  <c r="K172" i="6"/>
  <c r="K173" i="6"/>
  <c r="K179" i="6"/>
  <c r="K180" i="6"/>
  <c r="K183" i="6"/>
  <c r="K188" i="6"/>
  <c r="K189" i="6"/>
  <c r="K192" i="6"/>
  <c r="K197" i="6"/>
  <c r="K210" i="6"/>
  <c r="K214" i="6"/>
  <c r="K218" i="6"/>
  <c r="K222" i="6"/>
  <c r="K64" i="6"/>
  <c r="K66" i="6"/>
  <c r="K68" i="6"/>
  <c r="K34" i="6"/>
  <c r="K35" i="6"/>
  <c r="L44" i="17" s="1"/>
  <c r="L46" i="17" s="1"/>
  <c r="K32" i="6"/>
  <c r="K28" i="6"/>
  <c r="K21" i="6"/>
  <c r="K15" i="6"/>
  <c r="K16" i="6"/>
  <c r="T5" i="13"/>
  <c r="U5" i="13"/>
  <c r="T6" i="13"/>
  <c r="U6" i="13"/>
  <c r="T7" i="13"/>
  <c r="T8" i="13" s="1"/>
  <c r="T9" i="35" s="1"/>
  <c r="U7" i="13"/>
  <c r="T21" i="13"/>
  <c r="T22" i="13"/>
  <c r="T23" i="37" s="1"/>
  <c r="T27" i="13"/>
  <c r="T27" i="37" s="1"/>
  <c r="T31" i="13"/>
  <c r="T32" i="13"/>
  <c r="T33" i="13"/>
  <c r="T35" i="13"/>
  <c r="T36" i="13"/>
  <c r="T39" i="13"/>
  <c r="T91" i="13" s="1"/>
  <c r="T41" i="13"/>
  <c r="T42" i="13"/>
  <c r="T44" i="13"/>
  <c r="T50" i="13"/>
  <c r="T54" i="13" s="1"/>
  <c r="U50" i="13"/>
  <c r="T52" i="13"/>
  <c r="U52" i="13"/>
  <c r="T55" i="13"/>
  <c r="U55" i="13"/>
  <c r="T94" i="13"/>
  <c r="K5" i="2"/>
  <c r="K6" i="2"/>
  <c r="K7" i="2"/>
  <c r="K15" i="2" s="1"/>
  <c r="K9" i="26" s="1"/>
  <c r="K27" i="2"/>
  <c r="K39" i="2"/>
  <c r="K91" i="2" s="1"/>
  <c r="K50" i="2"/>
  <c r="K52" i="2"/>
  <c r="K54" i="2"/>
  <c r="K55" i="2"/>
  <c r="J38" i="11"/>
  <c r="K38" i="11"/>
  <c r="K225" i="6" s="1"/>
  <c r="U50" i="12"/>
  <c r="U52" i="12"/>
  <c r="U55" i="12"/>
  <c r="U46" i="12"/>
  <c r="U46" i="13" s="1"/>
  <c r="U44" i="12"/>
  <c r="U41" i="12"/>
  <c r="U39" i="12"/>
  <c r="U36" i="12"/>
  <c r="U36" i="13" s="1"/>
  <c r="U35" i="12"/>
  <c r="U34" i="12"/>
  <c r="U33" i="12"/>
  <c r="U32" i="12"/>
  <c r="U32" i="13" s="1"/>
  <c r="U31" i="12"/>
  <c r="U27" i="12"/>
  <c r="U22" i="12"/>
  <c r="U21" i="12"/>
  <c r="U94" i="12" s="1"/>
  <c r="U19" i="12"/>
  <c r="U16" i="12"/>
  <c r="U15" i="12"/>
  <c r="U11" i="12"/>
  <c r="U10" i="12"/>
  <c r="U9" i="12"/>
  <c r="U8" i="12"/>
  <c r="U57" i="12" s="1"/>
  <c r="U5" i="12"/>
  <c r="M55" i="17" l="1"/>
  <c r="L68" i="4"/>
  <c r="M22" i="17" s="1"/>
  <c r="L99" i="4"/>
  <c r="L58" i="4"/>
  <c r="L129" i="4"/>
  <c r="L30" i="2"/>
  <c r="L99" i="2"/>
  <c r="L90" i="4"/>
  <c r="Y37" i="13"/>
  <c r="Y43" i="13" s="1"/>
  <c r="Y45" i="13" s="1"/>
  <c r="Y47" i="13" s="1"/>
  <c r="Y101" i="13"/>
  <c r="Y102" i="13"/>
  <c r="Y103" i="13"/>
  <c r="Y83" i="13"/>
  <c r="Y85" i="13"/>
  <c r="Y86" i="13" s="1"/>
  <c r="X94" i="41"/>
  <c r="X97" i="41"/>
  <c r="X96" i="41"/>
  <c r="X93" i="41"/>
  <c r="X128" i="41"/>
  <c r="X98" i="41" s="1"/>
  <c r="X95" i="41"/>
  <c r="X30" i="13"/>
  <c r="X99" i="13"/>
  <c r="W47" i="37"/>
  <c r="W73" i="37"/>
  <c r="W74" i="37" s="1"/>
  <c r="W34" i="37"/>
  <c r="W30" i="13"/>
  <c r="W99" i="13"/>
  <c r="T62" i="31"/>
  <c r="V47" i="37"/>
  <c r="V99" i="13"/>
  <c r="V30" i="13"/>
  <c r="V73" i="37"/>
  <c r="V74" i="37" s="1"/>
  <c r="V34" i="37"/>
  <c r="U24" i="31"/>
  <c r="L98" i="4"/>
  <c r="L130" i="4"/>
  <c r="L130" i="18"/>
  <c r="L98" i="18"/>
  <c r="V88" i="12"/>
  <c r="V84" i="12"/>
  <c r="L84" i="11"/>
  <c r="L88" i="11"/>
  <c r="K36" i="2"/>
  <c r="K19" i="2"/>
  <c r="K17" i="26" s="1"/>
  <c r="K35" i="2"/>
  <c r="K11" i="2"/>
  <c r="K73" i="8" s="1"/>
  <c r="L74" i="8" s="1"/>
  <c r="K31" i="2"/>
  <c r="K10" i="2"/>
  <c r="K71" i="2" s="1"/>
  <c r="S87" i="35"/>
  <c r="S90" i="35"/>
  <c r="S88" i="35"/>
  <c r="U33" i="13"/>
  <c r="U39" i="13"/>
  <c r="U91" i="13" s="1"/>
  <c r="S55" i="34"/>
  <c r="U15" i="13"/>
  <c r="U9" i="37" s="1"/>
  <c r="U41" i="13"/>
  <c r="S69" i="34"/>
  <c r="T85" i="35"/>
  <c r="U22" i="13"/>
  <c r="U23" i="37" s="1"/>
  <c r="U63" i="37" s="1"/>
  <c r="U16" i="13"/>
  <c r="U11" i="37" s="1"/>
  <c r="U34" i="13"/>
  <c r="T93" i="13"/>
  <c r="U19" i="13"/>
  <c r="U17" i="37" s="1"/>
  <c r="U31" i="13"/>
  <c r="U35" i="13"/>
  <c r="U44" i="13"/>
  <c r="K44" i="2"/>
  <c r="K34" i="2"/>
  <c r="T46" i="13"/>
  <c r="T40" i="13"/>
  <c r="T34" i="13"/>
  <c r="T29" i="13"/>
  <c r="T29" i="37" s="1"/>
  <c r="T19" i="13"/>
  <c r="T17" i="37" s="1"/>
  <c r="R58" i="34"/>
  <c r="S73" i="34"/>
  <c r="T62" i="34"/>
  <c r="S58" i="34"/>
  <c r="R84" i="35"/>
  <c r="U82" i="35"/>
  <c r="U85" i="35" s="1"/>
  <c r="K63" i="19"/>
  <c r="K23" i="27"/>
  <c r="U45" i="31"/>
  <c r="T32" i="31"/>
  <c r="T30" i="31"/>
  <c r="U18" i="31"/>
  <c r="U9" i="31"/>
  <c r="U51" i="37"/>
  <c r="U91" i="12"/>
  <c r="U69" i="12"/>
  <c r="U61" i="12"/>
  <c r="K21" i="2"/>
  <c r="K21" i="26" s="1"/>
  <c r="K7" i="8"/>
  <c r="U11" i="34"/>
  <c r="U9" i="13"/>
  <c r="U11" i="35" s="1"/>
  <c r="U15" i="34"/>
  <c r="U11" i="13"/>
  <c r="U15" i="35" s="1"/>
  <c r="U21" i="13"/>
  <c r="U61" i="30"/>
  <c r="U27" i="13"/>
  <c r="U9" i="34"/>
  <c r="U8" i="13"/>
  <c r="U13" i="12"/>
  <c r="U65" i="12" s="1"/>
  <c r="U12" i="12"/>
  <c r="U13" i="34"/>
  <c r="U10" i="13"/>
  <c r="U71" i="13" s="1"/>
  <c r="U49" i="37"/>
  <c r="U57" i="37"/>
  <c r="U93" i="12"/>
  <c r="U71" i="12"/>
  <c r="U67" i="12"/>
  <c r="U59" i="12"/>
  <c r="K93" i="2"/>
  <c r="K61" i="27"/>
  <c r="K27" i="26"/>
  <c r="K73" i="6"/>
  <c r="K49" i="26"/>
  <c r="K76" i="26"/>
  <c r="K107" i="6"/>
  <c r="T28" i="35"/>
  <c r="T68" i="35"/>
  <c r="K50" i="6"/>
  <c r="K162" i="6"/>
  <c r="S93" i="34"/>
  <c r="T93" i="34"/>
  <c r="T69" i="37"/>
  <c r="T67" i="37"/>
  <c r="T63" i="37"/>
  <c r="T21" i="37"/>
  <c r="T57" i="37"/>
  <c r="T17" i="13"/>
  <c r="T16" i="13"/>
  <c r="T15" i="13"/>
  <c r="T9" i="37" s="1"/>
  <c r="T11" i="13"/>
  <c r="T15" i="35" s="1"/>
  <c r="T10" i="13"/>
  <c r="T9" i="13"/>
  <c r="T61" i="13" s="1"/>
  <c r="K58" i="6"/>
  <c r="K56" i="6"/>
  <c r="K54" i="6"/>
  <c r="K52" i="6"/>
  <c r="K224" i="6"/>
  <c r="K108" i="6"/>
  <c r="R73" i="34"/>
  <c r="R17" i="34"/>
  <c r="R64" i="34" s="1"/>
  <c r="U93" i="34"/>
  <c r="K76" i="25"/>
  <c r="L77" i="25" s="1"/>
  <c r="K40" i="19"/>
  <c r="K41" i="19" s="1"/>
  <c r="U16" i="31"/>
  <c r="U25" i="31"/>
  <c r="U56" i="31" s="1"/>
  <c r="U28" i="31"/>
  <c r="U32" i="31"/>
  <c r="K30" i="27"/>
  <c r="K26" i="27"/>
  <c r="K21" i="27"/>
  <c r="K15" i="27"/>
  <c r="K10" i="27"/>
  <c r="U26" i="31"/>
  <c r="K27" i="27"/>
  <c r="K19" i="27"/>
  <c r="K11" i="27"/>
  <c r="K33" i="27"/>
  <c r="K25" i="27"/>
  <c r="K57" i="27" s="1"/>
  <c r="K17" i="27"/>
  <c r="K9" i="27"/>
  <c r="K32" i="27"/>
  <c r="K24" i="27"/>
  <c r="K16" i="27"/>
  <c r="K8" i="27"/>
  <c r="K36" i="27"/>
  <c r="K28" i="27"/>
  <c r="K44" i="19"/>
  <c r="K43" i="19"/>
  <c r="K22" i="19"/>
  <c r="K35" i="19" s="1"/>
  <c r="K56" i="19"/>
  <c r="K58" i="19" s="1"/>
  <c r="K63" i="25"/>
  <c r="L64" i="25" s="1"/>
  <c r="R83" i="35"/>
  <c r="R85" i="35" s="1"/>
  <c r="R88" i="35" s="1"/>
  <c r="T57" i="35"/>
  <c r="T41" i="35"/>
  <c r="S91" i="35"/>
  <c r="S89" i="35"/>
  <c r="T75" i="34"/>
  <c r="T37" i="34"/>
  <c r="T50" i="34"/>
  <c r="T64" i="34"/>
  <c r="T44" i="34"/>
  <c r="S17" i="34"/>
  <c r="S33" i="34"/>
  <c r="S71" i="34"/>
  <c r="S60" i="34"/>
  <c r="R69" i="34"/>
  <c r="R35" i="34"/>
  <c r="R62" i="34"/>
  <c r="K92" i="24"/>
  <c r="K91" i="24"/>
  <c r="K90" i="24"/>
  <c r="K89" i="24"/>
  <c r="U77" i="12"/>
  <c r="U57" i="13"/>
  <c r="T67" i="13"/>
  <c r="T13" i="13"/>
  <c r="T19" i="35" s="1"/>
  <c r="T57" i="13"/>
  <c r="T69" i="13"/>
  <c r="U13" i="13"/>
  <c r="U19" i="35" s="1"/>
  <c r="U77" i="13"/>
  <c r="U54" i="13"/>
  <c r="K41" i="2"/>
  <c r="K33" i="2"/>
  <c r="K9" i="2"/>
  <c r="K40" i="2"/>
  <c r="K32" i="2"/>
  <c r="K16" i="2"/>
  <c r="K8" i="2"/>
  <c r="K46" i="2"/>
  <c r="K38" i="2"/>
  <c r="K90" i="2" s="1"/>
  <c r="K92" i="2" s="1"/>
  <c r="K22" i="2"/>
  <c r="U63" i="12"/>
  <c r="U54" i="12"/>
  <c r="K50" i="11"/>
  <c r="K52" i="11"/>
  <c r="K55" i="11"/>
  <c r="K59" i="11" s="1"/>
  <c r="K67" i="11"/>
  <c r="K71" i="11"/>
  <c r="K90" i="11"/>
  <c r="K49" i="19" s="1"/>
  <c r="K91" i="11"/>
  <c r="K93" i="11"/>
  <c r="K94" i="11"/>
  <c r="K42" i="11"/>
  <c r="K29" i="11"/>
  <c r="J29" i="11"/>
  <c r="K23" i="11"/>
  <c r="J23" i="11"/>
  <c r="K18" i="11"/>
  <c r="K17" i="11"/>
  <c r="K17" i="2" s="1"/>
  <c r="K13" i="26" s="1"/>
  <c r="K12" i="11"/>
  <c r="K13" i="11"/>
  <c r="K5" i="11"/>
  <c r="T5" i="41"/>
  <c r="U5" i="41"/>
  <c r="T6" i="41"/>
  <c r="U6" i="41"/>
  <c r="T7" i="41"/>
  <c r="T8" i="41" s="1"/>
  <c r="T9" i="41"/>
  <c r="T15" i="41"/>
  <c r="T20" i="41"/>
  <c r="T26" i="41"/>
  <c r="T31" i="41"/>
  <c r="T37" i="41"/>
  <c r="T41" i="41"/>
  <c r="T47" i="41"/>
  <c r="T52" i="41"/>
  <c r="T56" i="41"/>
  <c r="T62" i="41"/>
  <c r="T84" i="41"/>
  <c r="T124" i="41"/>
  <c r="U65" i="40"/>
  <c r="U64" i="40"/>
  <c r="U63" i="40"/>
  <c r="U62" i="40"/>
  <c r="U61" i="40"/>
  <c r="U60" i="40"/>
  <c r="U59" i="40"/>
  <c r="U56" i="40"/>
  <c r="U55" i="40"/>
  <c r="U54" i="40"/>
  <c r="U53" i="40"/>
  <c r="U52" i="40"/>
  <c r="U51" i="40"/>
  <c r="U50" i="40"/>
  <c r="U48" i="40"/>
  <c r="U47" i="40"/>
  <c r="U46" i="40"/>
  <c r="U45" i="40"/>
  <c r="U42" i="40"/>
  <c r="U41" i="40"/>
  <c r="U39" i="40"/>
  <c r="U38" i="40"/>
  <c r="U37" i="40"/>
  <c r="U36" i="40"/>
  <c r="U35" i="40"/>
  <c r="U32" i="40"/>
  <c r="U31" i="40"/>
  <c r="U30" i="40"/>
  <c r="U29" i="40"/>
  <c r="U27" i="40"/>
  <c r="U26" i="40"/>
  <c r="U25" i="40"/>
  <c r="U71" i="40" s="1"/>
  <c r="U22" i="40"/>
  <c r="U21" i="40"/>
  <c r="U102" i="40" s="1"/>
  <c r="U20" i="40"/>
  <c r="U19" i="40"/>
  <c r="U18" i="40"/>
  <c r="U17" i="40"/>
  <c r="U15" i="40"/>
  <c r="U14" i="40"/>
  <c r="U12" i="40"/>
  <c r="U11" i="40"/>
  <c r="U10" i="40"/>
  <c r="U9" i="40"/>
  <c r="U8" i="40"/>
  <c r="U5" i="40"/>
  <c r="K73" i="4"/>
  <c r="K5" i="4"/>
  <c r="K6" i="4"/>
  <c r="K118" i="18"/>
  <c r="K119" i="18"/>
  <c r="K102" i="18"/>
  <c r="K103" i="18"/>
  <c r="K81" i="18"/>
  <c r="K82" i="18"/>
  <c r="K83" i="18"/>
  <c r="K84" i="18"/>
  <c r="K86" i="18"/>
  <c r="K70" i="18"/>
  <c r="K88" i="18" s="1"/>
  <c r="K71" i="18"/>
  <c r="K53" i="19" s="1"/>
  <c r="K73" i="18"/>
  <c r="K66" i="18"/>
  <c r="K125" i="18" s="1"/>
  <c r="K57" i="18"/>
  <c r="K111" i="18" s="1"/>
  <c r="K49" i="18"/>
  <c r="K40" i="18"/>
  <c r="K16" i="18"/>
  <c r="K33" i="18"/>
  <c r="K108" i="18" s="1"/>
  <c r="K28" i="18"/>
  <c r="K13" i="18"/>
  <c r="K5" i="18"/>
  <c r="X29" i="38"/>
  <c r="U7" i="41" s="1"/>
  <c r="L37" i="2" l="1"/>
  <c r="L43" i="2" s="1"/>
  <c r="L45" i="2" s="1"/>
  <c r="L47" i="2" s="1"/>
  <c r="M52" i="17"/>
  <c r="L102" i="2"/>
  <c r="L101" i="2"/>
  <c r="M53" i="17" s="1"/>
  <c r="L103" i="2"/>
  <c r="L85" i="2"/>
  <c r="L83" i="2"/>
  <c r="Y84" i="13"/>
  <c r="Y88" i="13"/>
  <c r="X37" i="13"/>
  <c r="X43" i="13" s="1"/>
  <c r="X45" i="13" s="1"/>
  <c r="X47" i="13" s="1"/>
  <c r="X102" i="13"/>
  <c r="X101" i="13"/>
  <c r="X103" i="13"/>
  <c r="X83" i="13"/>
  <c r="X85" i="13"/>
  <c r="X86" i="13" s="1"/>
  <c r="W85" i="13"/>
  <c r="W86" i="13" s="1"/>
  <c r="W101" i="13"/>
  <c r="W102" i="13"/>
  <c r="W103" i="13"/>
  <c r="W83" i="13"/>
  <c r="W37" i="13"/>
  <c r="W43" i="13" s="1"/>
  <c r="W45" i="13" s="1"/>
  <c r="W47" i="13" s="1"/>
  <c r="V101" i="13"/>
  <c r="V37" i="13"/>
  <c r="V43" i="13" s="1"/>
  <c r="V45" i="13" s="1"/>
  <c r="V47" i="13" s="1"/>
  <c r="V102" i="13"/>
  <c r="V83" i="13"/>
  <c r="V103" i="13"/>
  <c r="V85" i="13"/>
  <c r="V86" i="13" s="1"/>
  <c r="K89" i="6"/>
  <c r="K64" i="19"/>
  <c r="K94" i="2"/>
  <c r="K95" i="2" s="1"/>
  <c r="K12" i="2"/>
  <c r="U87" i="35"/>
  <c r="U90" i="35"/>
  <c r="U89" i="35"/>
  <c r="U91" i="35"/>
  <c r="U92" i="35" s="1"/>
  <c r="U88" i="35"/>
  <c r="T65" i="41"/>
  <c r="T55" i="41"/>
  <c r="T57" i="41" s="1"/>
  <c r="T111" i="41" s="1"/>
  <c r="T46" i="41"/>
  <c r="T36" i="41"/>
  <c r="T25" i="41"/>
  <c r="T81" i="41" s="1"/>
  <c r="T14" i="41"/>
  <c r="T87" i="35"/>
  <c r="T90" i="35"/>
  <c r="T64" i="41"/>
  <c r="T60" i="41"/>
  <c r="T54" i="41"/>
  <c r="T103" i="41" s="1"/>
  <c r="T104" i="41" s="1"/>
  <c r="T50" i="41"/>
  <c r="T45" i="41"/>
  <c r="T39" i="41"/>
  <c r="T35" i="41"/>
  <c r="T82" i="41" s="1"/>
  <c r="T29" i="41"/>
  <c r="T83" i="41" s="1"/>
  <c r="T22" i="41"/>
  <c r="T18" i="41"/>
  <c r="T11" i="41"/>
  <c r="R50" i="34"/>
  <c r="T89" i="35"/>
  <c r="T61" i="41"/>
  <c r="T51" i="41"/>
  <c r="T40" i="41"/>
  <c r="T114" i="41" s="1"/>
  <c r="T30" i="41"/>
  <c r="T19" i="41"/>
  <c r="U13" i="40"/>
  <c r="U57" i="40"/>
  <c r="U111" i="40" s="1"/>
  <c r="T63" i="41"/>
  <c r="T59" i="41"/>
  <c r="T66" i="41" s="1"/>
  <c r="T125" i="41" s="1"/>
  <c r="T53" i="41"/>
  <c r="T48" i="41"/>
  <c r="T42" i="41"/>
  <c r="T38" i="41"/>
  <c r="T118" i="41" s="1"/>
  <c r="T32" i="41"/>
  <c r="T27" i="41"/>
  <c r="T21" i="41"/>
  <c r="T102" i="41" s="1"/>
  <c r="T17" i="41"/>
  <c r="T10" i="41"/>
  <c r="S92" i="35"/>
  <c r="T91" i="35"/>
  <c r="T88" i="35"/>
  <c r="K93" i="24"/>
  <c r="U8" i="41"/>
  <c r="U124" i="41"/>
  <c r="K43" i="18"/>
  <c r="K117" i="18" s="1"/>
  <c r="U40" i="40"/>
  <c r="U114" i="40" s="1"/>
  <c r="K40" i="4"/>
  <c r="K114" i="18"/>
  <c r="K9" i="4"/>
  <c r="K11" i="4"/>
  <c r="K14" i="4"/>
  <c r="K18" i="4"/>
  <c r="K8" i="4"/>
  <c r="K229" i="6" s="1"/>
  <c r="K10" i="4"/>
  <c r="K12" i="4"/>
  <c r="K15" i="4"/>
  <c r="K233" i="6" s="1"/>
  <c r="K17" i="4"/>
  <c r="K19" i="4"/>
  <c r="K21" i="4"/>
  <c r="K102" i="4" s="1"/>
  <c r="K26" i="4"/>
  <c r="K30" i="4"/>
  <c r="K240" i="6" s="1"/>
  <c r="K32" i="4"/>
  <c r="K36" i="4"/>
  <c r="K38" i="4"/>
  <c r="K245" i="6" s="1"/>
  <c r="K42" i="4"/>
  <c r="K46" i="4"/>
  <c r="K48" i="4"/>
  <c r="K51" i="4"/>
  <c r="K53" i="4"/>
  <c r="K55" i="4"/>
  <c r="K59" i="4"/>
  <c r="K61" i="4"/>
  <c r="K63" i="4"/>
  <c r="K257" i="6" s="1"/>
  <c r="K65" i="4"/>
  <c r="K124" i="4"/>
  <c r="K64" i="4"/>
  <c r="K60" i="4"/>
  <c r="K54" i="4"/>
  <c r="K103" i="4" s="1"/>
  <c r="K50" i="4"/>
  <c r="K45" i="4"/>
  <c r="K39" i="4"/>
  <c r="K246" i="6" s="1"/>
  <c r="K35" i="4"/>
  <c r="K82" i="4" s="1"/>
  <c r="K29" i="4"/>
  <c r="K83" i="4" s="1"/>
  <c r="K25" i="4"/>
  <c r="L37" i="27" s="1"/>
  <c r="L38" i="27" s="1"/>
  <c r="K20" i="4"/>
  <c r="K235" i="6" s="1"/>
  <c r="U13" i="41"/>
  <c r="U10" i="41"/>
  <c r="U15" i="41"/>
  <c r="U18" i="41"/>
  <c r="U22" i="41"/>
  <c r="U26" i="41"/>
  <c r="U29" i="41"/>
  <c r="U83" i="41" s="1"/>
  <c r="U31" i="41"/>
  <c r="U37" i="41"/>
  <c r="U84" i="41" s="1"/>
  <c r="U39" i="41"/>
  <c r="U42" i="41"/>
  <c r="U53" i="41"/>
  <c r="U55" i="41"/>
  <c r="U59" i="41"/>
  <c r="U61" i="41"/>
  <c r="U63" i="41"/>
  <c r="U65" i="41"/>
  <c r="K53" i="26"/>
  <c r="K124" i="6"/>
  <c r="U28" i="40"/>
  <c r="U33" i="40" s="1"/>
  <c r="K28" i="4"/>
  <c r="K23" i="18"/>
  <c r="U16" i="40"/>
  <c r="K16" i="4"/>
  <c r="K232" i="6" s="1"/>
  <c r="K104" i="18"/>
  <c r="K121" i="18"/>
  <c r="K123" i="18"/>
  <c r="K126" i="18" s="1"/>
  <c r="K62" i="4"/>
  <c r="K56" i="4"/>
  <c r="K52" i="4"/>
  <c r="K47" i="4"/>
  <c r="K41" i="4"/>
  <c r="K37" i="4"/>
  <c r="K31" i="4"/>
  <c r="K27" i="4"/>
  <c r="K22" i="4"/>
  <c r="U9" i="41"/>
  <c r="U11" i="41"/>
  <c r="U14" i="41"/>
  <c r="U17" i="41"/>
  <c r="U19" i="41"/>
  <c r="U27" i="41"/>
  <c r="U30" i="41"/>
  <c r="U38" i="41"/>
  <c r="U41" i="41"/>
  <c r="U47" i="41"/>
  <c r="U50" i="41"/>
  <c r="U54" i="41"/>
  <c r="U103" i="41" s="1"/>
  <c r="U62" i="41"/>
  <c r="U45" i="41"/>
  <c r="U66" i="40"/>
  <c r="U23" i="40"/>
  <c r="U24" i="40" s="1"/>
  <c r="U110" i="40" s="1"/>
  <c r="U84" i="40"/>
  <c r="U81" i="40"/>
  <c r="U103" i="40"/>
  <c r="U104" i="40" s="1"/>
  <c r="U51" i="41"/>
  <c r="T70" i="41"/>
  <c r="U25" i="41"/>
  <c r="U71" i="41" s="1"/>
  <c r="U21" i="41"/>
  <c r="U102" i="41" s="1"/>
  <c r="K18" i="2"/>
  <c r="K15" i="26" s="1"/>
  <c r="K20" i="11"/>
  <c r="K23" i="2"/>
  <c r="K25" i="26" s="1"/>
  <c r="U29" i="12"/>
  <c r="U29" i="13" s="1"/>
  <c r="U29" i="37" s="1"/>
  <c r="K23" i="26"/>
  <c r="K77" i="2"/>
  <c r="K11" i="26"/>
  <c r="T11" i="35"/>
  <c r="T59" i="13"/>
  <c r="T34" i="35"/>
  <c r="T61" i="35"/>
  <c r="T72" i="35"/>
  <c r="T24" i="35"/>
  <c r="T47" i="35"/>
  <c r="T11" i="37"/>
  <c r="T77" i="13"/>
  <c r="K71" i="8"/>
  <c r="L72" i="8" s="1"/>
  <c r="K110" i="6"/>
  <c r="K67" i="26"/>
  <c r="K141" i="6"/>
  <c r="U17" i="34"/>
  <c r="U46" i="34"/>
  <c r="U60" i="34"/>
  <c r="U71" i="34"/>
  <c r="U33" i="34"/>
  <c r="U55" i="34"/>
  <c r="U19" i="34"/>
  <c r="U24" i="34" s="1"/>
  <c r="U69" i="34"/>
  <c r="U29" i="34"/>
  <c r="U42" i="34"/>
  <c r="U58" i="34"/>
  <c r="U35" i="34"/>
  <c r="U48" i="34"/>
  <c r="U62" i="34"/>
  <c r="U73" i="34"/>
  <c r="U44" i="34"/>
  <c r="U31" i="34"/>
  <c r="K82" i="8"/>
  <c r="K84" i="8"/>
  <c r="K81" i="8"/>
  <c r="K83" i="8"/>
  <c r="K85" i="8"/>
  <c r="U46" i="41"/>
  <c r="U83" i="40"/>
  <c r="U118" i="40"/>
  <c r="T43" i="41"/>
  <c r="T109" i="41" s="1"/>
  <c r="K62" i="6"/>
  <c r="U17" i="12"/>
  <c r="U17" i="13" s="1"/>
  <c r="K42" i="2"/>
  <c r="K92" i="11"/>
  <c r="K46" i="19"/>
  <c r="K29" i="26"/>
  <c r="L30" i="26" s="1"/>
  <c r="K69" i="8"/>
  <c r="L70" i="8" s="1"/>
  <c r="K59" i="2"/>
  <c r="U51" i="35"/>
  <c r="U38" i="35"/>
  <c r="U65" i="35"/>
  <c r="U76" i="35"/>
  <c r="T38" i="35"/>
  <c r="T65" i="35"/>
  <c r="T76" i="35"/>
  <c r="T51" i="35"/>
  <c r="K79" i="6"/>
  <c r="L16" i="17"/>
  <c r="R37" i="34"/>
  <c r="R75" i="34"/>
  <c r="T12" i="13"/>
  <c r="T13" i="35"/>
  <c r="T71" i="13"/>
  <c r="T49" i="37"/>
  <c r="T13" i="37"/>
  <c r="T61" i="37"/>
  <c r="T22" i="35"/>
  <c r="K57" i="26"/>
  <c r="K134" i="6"/>
  <c r="U12" i="13"/>
  <c r="U13" i="35"/>
  <c r="U9" i="35"/>
  <c r="U67" i="13"/>
  <c r="U69" i="13"/>
  <c r="U61" i="13"/>
  <c r="U27" i="37"/>
  <c r="U93" i="13"/>
  <c r="U21" i="37"/>
  <c r="U94" i="13"/>
  <c r="U24" i="35"/>
  <c r="U47" i="35"/>
  <c r="U34" i="35"/>
  <c r="U61" i="35"/>
  <c r="U72" i="35"/>
  <c r="U59" i="13"/>
  <c r="K61" i="26"/>
  <c r="U49" i="40"/>
  <c r="U43" i="40"/>
  <c r="U109" i="40" s="1"/>
  <c r="K85" i="18"/>
  <c r="U82" i="40"/>
  <c r="U85" i="40" s="1"/>
  <c r="U70" i="40"/>
  <c r="U72" i="40" s="1"/>
  <c r="U75" i="40" s="1"/>
  <c r="U96" i="40" s="1"/>
  <c r="U35" i="41"/>
  <c r="U117" i="40"/>
  <c r="K79" i="18"/>
  <c r="K49" i="4"/>
  <c r="K251" i="6" s="1"/>
  <c r="U127" i="40"/>
  <c r="K72" i="18"/>
  <c r="K105" i="18" s="1"/>
  <c r="K45" i="19"/>
  <c r="K43" i="27"/>
  <c r="K46" i="27"/>
  <c r="K22" i="27"/>
  <c r="K34" i="27"/>
  <c r="K62" i="27"/>
  <c r="K63" i="27" s="1"/>
  <c r="K12" i="27"/>
  <c r="K13" i="27" s="1"/>
  <c r="R87" i="35"/>
  <c r="R91" i="35"/>
  <c r="R90" i="35"/>
  <c r="R89" i="35"/>
  <c r="S75" i="34"/>
  <c r="S37" i="34"/>
  <c r="S50" i="34"/>
  <c r="S64" i="34"/>
  <c r="K77" i="11"/>
  <c r="K69" i="11"/>
  <c r="K65" i="11"/>
  <c r="K63" i="11"/>
  <c r="K54" i="11"/>
  <c r="U63" i="13"/>
  <c r="U65" i="13"/>
  <c r="T63" i="13"/>
  <c r="T65" i="13"/>
  <c r="K13" i="2"/>
  <c r="K57" i="2"/>
  <c r="K67" i="2"/>
  <c r="K61" i="2"/>
  <c r="K69" i="2"/>
  <c r="K95" i="11"/>
  <c r="K57" i="11"/>
  <c r="K61" i="11"/>
  <c r="T79" i="41"/>
  <c r="T117" i="41"/>
  <c r="T88" i="41"/>
  <c r="T71" i="41"/>
  <c r="T72" i="41" s="1"/>
  <c r="U64" i="41"/>
  <c r="U60" i="41"/>
  <c r="U56" i="41"/>
  <c r="U52" i="41"/>
  <c r="U48" i="41"/>
  <c r="U40" i="41"/>
  <c r="U114" i="41" s="1"/>
  <c r="U36" i="41"/>
  <c r="U32" i="41"/>
  <c r="U20" i="41"/>
  <c r="U16" i="41"/>
  <c r="U12" i="41"/>
  <c r="T12" i="41"/>
  <c r="K24" i="18"/>
  <c r="R27" i="30"/>
  <c r="U27" i="30" s="1"/>
  <c r="T23" i="30"/>
  <c r="T19" i="30"/>
  <c r="T15" i="30"/>
  <c r="T11" i="30"/>
  <c r="T8" i="30" s="1"/>
  <c r="T16" i="40"/>
  <c r="T16" i="41" s="1"/>
  <c r="T28" i="40"/>
  <c r="T5" i="40"/>
  <c r="T13" i="40"/>
  <c r="T13" i="41" s="1"/>
  <c r="T23" i="40"/>
  <c r="T43" i="40"/>
  <c r="T117" i="40" s="1"/>
  <c r="T49" i="40"/>
  <c r="T57" i="40"/>
  <c r="T111" i="40" s="1"/>
  <c r="T66" i="40"/>
  <c r="T70" i="40"/>
  <c r="T79" i="40" s="1"/>
  <c r="T71" i="40"/>
  <c r="T81" i="40"/>
  <c r="T82" i="40"/>
  <c r="T83" i="40"/>
  <c r="T84" i="40"/>
  <c r="T88" i="40"/>
  <c r="T102" i="40"/>
  <c r="T103" i="40"/>
  <c r="T104" i="40" s="1"/>
  <c r="T114" i="40"/>
  <c r="T118" i="40"/>
  <c r="T38" i="12"/>
  <c r="T23" i="12"/>
  <c r="T18" i="12"/>
  <c r="T18" i="13" s="1"/>
  <c r="T15" i="37" s="1"/>
  <c r="T5" i="12"/>
  <c r="T12" i="12"/>
  <c r="T13" i="12"/>
  <c r="T90" i="12"/>
  <c r="T50" i="12"/>
  <c r="T52" i="12"/>
  <c r="T55" i="12"/>
  <c r="T57" i="12" s="1"/>
  <c r="T63" i="12"/>
  <c r="T67" i="12"/>
  <c r="T71" i="12"/>
  <c r="T91" i="12"/>
  <c r="T93" i="12"/>
  <c r="T94" i="12"/>
  <c r="L88" i="2" l="1"/>
  <c r="X84" i="13"/>
  <c r="X88" i="13"/>
  <c r="W88" i="13"/>
  <c r="W84" i="13"/>
  <c r="V88" i="13"/>
  <c r="V84" i="13"/>
  <c r="K66" i="4"/>
  <c r="K70" i="4"/>
  <c r="L57" i="17" s="1"/>
  <c r="K118" i="4"/>
  <c r="K123" i="4"/>
  <c r="K126" i="4" s="1"/>
  <c r="U23" i="34"/>
  <c r="U22" i="34"/>
  <c r="K20" i="2"/>
  <c r="K19" i="26" s="1"/>
  <c r="K24" i="2"/>
  <c r="K87" i="4" s="1"/>
  <c r="K75" i="8"/>
  <c r="L76" i="8" s="1"/>
  <c r="U116" i="40"/>
  <c r="U44" i="40"/>
  <c r="U115" i="40" s="1"/>
  <c r="K33" i="4"/>
  <c r="K116" i="4" s="1"/>
  <c r="K125" i="4"/>
  <c r="U28" i="41"/>
  <c r="U33" i="41" s="1"/>
  <c r="U49" i="41"/>
  <c r="K44" i="18"/>
  <c r="K115" i="18" s="1"/>
  <c r="U118" i="41"/>
  <c r="T92" i="35"/>
  <c r="T54" i="12"/>
  <c r="T123" i="41"/>
  <c r="T126" i="41" s="1"/>
  <c r="K43" i="4"/>
  <c r="K109" i="4" s="1"/>
  <c r="K109" i="18"/>
  <c r="T85" i="41"/>
  <c r="U23" i="41"/>
  <c r="U24" i="41" s="1"/>
  <c r="U70" i="41"/>
  <c r="U88" i="41" s="1"/>
  <c r="K116" i="18"/>
  <c r="T49" i="41"/>
  <c r="T8" i="31"/>
  <c r="T55" i="37"/>
  <c r="T38" i="13"/>
  <c r="T90" i="13" s="1"/>
  <c r="T92" i="13" s="1"/>
  <c r="T95" i="13" s="1"/>
  <c r="T19" i="34"/>
  <c r="T20" i="12"/>
  <c r="T24" i="12" s="1"/>
  <c r="T23" i="13"/>
  <c r="T109" i="40"/>
  <c r="T72" i="40"/>
  <c r="T19" i="31"/>
  <c r="U27" i="31"/>
  <c r="U61" i="31" s="1"/>
  <c r="U62" i="31" s="1"/>
  <c r="U62" i="30"/>
  <c r="U63" i="30" s="1"/>
  <c r="U57" i="41"/>
  <c r="U111" i="41" s="1"/>
  <c r="U66" i="41"/>
  <c r="L49" i="17"/>
  <c r="K60" i="6"/>
  <c r="U92" i="40"/>
  <c r="U88" i="40"/>
  <c r="U67" i="37"/>
  <c r="U28" i="35"/>
  <c r="U22" i="35"/>
  <c r="U68" i="35"/>
  <c r="U57" i="35"/>
  <c r="U41" i="35"/>
  <c r="T53" i="37"/>
  <c r="K69" i="26"/>
  <c r="L70" i="26" s="1"/>
  <c r="U13" i="37"/>
  <c r="T23" i="41"/>
  <c r="T24" i="41" s="1"/>
  <c r="U39" i="34"/>
  <c r="U52" i="34"/>
  <c r="U66" i="34"/>
  <c r="U77" i="34"/>
  <c r="U25" i="34"/>
  <c r="U27" i="34" s="1"/>
  <c r="K144" i="6"/>
  <c r="K145" i="6" s="1"/>
  <c r="K163" i="6"/>
  <c r="K164" i="6" s="1"/>
  <c r="K31" i="26"/>
  <c r="K44" i="26" s="1"/>
  <c r="K92" i="6"/>
  <c r="K104" i="6" s="1"/>
  <c r="K51" i="26"/>
  <c r="K63" i="26"/>
  <c r="U69" i="37"/>
  <c r="K65" i="25"/>
  <c r="L66" i="25" s="1"/>
  <c r="K55" i="25"/>
  <c r="L56" i="25" s="1"/>
  <c r="U81" i="41"/>
  <c r="U104" i="41"/>
  <c r="K242" i="6"/>
  <c r="K247" i="6"/>
  <c r="K84" i="4"/>
  <c r="K204" i="6"/>
  <c r="L56" i="17"/>
  <c r="K239" i="6"/>
  <c r="K71" i="4"/>
  <c r="K53" i="27" s="1"/>
  <c r="K81" i="4"/>
  <c r="K258" i="6"/>
  <c r="K13" i="4"/>
  <c r="K230" i="6"/>
  <c r="K234" i="6"/>
  <c r="T33" i="40"/>
  <c r="T28" i="41"/>
  <c r="T33" i="41" s="1"/>
  <c r="T108" i="41" s="1"/>
  <c r="T11" i="31"/>
  <c r="T12" i="31" s="1"/>
  <c r="T15" i="31"/>
  <c r="T22" i="31" s="1"/>
  <c r="U15" i="30"/>
  <c r="U23" i="30"/>
  <c r="T23" i="31"/>
  <c r="T33" i="31" s="1"/>
  <c r="K34" i="18"/>
  <c r="K110" i="18"/>
  <c r="K117" i="4"/>
  <c r="K112" i="18"/>
  <c r="U61" i="37"/>
  <c r="U23" i="35"/>
  <c r="U26" i="35" s="1"/>
  <c r="U59" i="35"/>
  <c r="U70" i="35"/>
  <c r="U54" i="35"/>
  <c r="U32" i="35"/>
  <c r="U17" i="35"/>
  <c r="U45" i="35"/>
  <c r="T23" i="35"/>
  <c r="T26" i="35" s="1"/>
  <c r="T59" i="35"/>
  <c r="T70" i="35"/>
  <c r="T17" i="35"/>
  <c r="T32" i="35"/>
  <c r="T54" i="35"/>
  <c r="T45" i="35"/>
  <c r="K135" i="6"/>
  <c r="K136" i="6" s="1"/>
  <c r="K82" i="6"/>
  <c r="K53" i="25"/>
  <c r="L54" i="25" s="1"/>
  <c r="K86" i="8"/>
  <c r="K91" i="8" s="1"/>
  <c r="U50" i="34"/>
  <c r="U37" i="34"/>
  <c r="U75" i="34"/>
  <c r="U26" i="34"/>
  <c r="U64" i="34"/>
  <c r="T51" i="37"/>
  <c r="K59" i="26"/>
  <c r="K69" i="25"/>
  <c r="L70" i="25" s="1"/>
  <c r="K65" i="26"/>
  <c r="K24" i="11"/>
  <c r="K55" i="26"/>
  <c r="U34" i="40"/>
  <c r="U108" i="40"/>
  <c r="U112" i="40" s="1"/>
  <c r="U99" i="40"/>
  <c r="U125" i="40"/>
  <c r="U100" i="40"/>
  <c r="U123" i="40"/>
  <c r="U126" i="40" s="1"/>
  <c r="K203" i="6"/>
  <c r="K241" i="6"/>
  <c r="K121" i="4"/>
  <c r="K57" i="4"/>
  <c r="K111" i="4" s="1"/>
  <c r="K252" i="6"/>
  <c r="K253" i="6" s="1"/>
  <c r="K256" i="6"/>
  <c r="K248" i="6"/>
  <c r="K104" i="4"/>
  <c r="K231" i="6"/>
  <c r="K236" i="6"/>
  <c r="K23" i="4"/>
  <c r="K45" i="27"/>
  <c r="K88" i="4"/>
  <c r="U95" i="40"/>
  <c r="K79" i="4"/>
  <c r="U105" i="40"/>
  <c r="U106" i="40"/>
  <c r="U91" i="40"/>
  <c r="U128" i="40"/>
  <c r="U79" i="40"/>
  <c r="U94" i="40"/>
  <c r="U90" i="40"/>
  <c r="K75" i="18"/>
  <c r="K48" i="19"/>
  <c r="K92" i="18"/>
  <c r="K51" i="19"/>
  <c r="K91" i="18"/>
  <c r="K127" i="18"/>
  <c r="K40" i="27"/>
  <c r="K49" i="27"/>
  <c r="K44" i="27"/>
  <c r="K35" i="27"/>
  <c r="K56" i="27"/>
  <c r="K58" i="27" s="1"/>
  <c r="K64" i="27" s="1"/>
  <c r="L60" i="17" s="1"/>
  <c r="R92" i="35"/>
  <c r="K63" i="2"/>
  <c r="K65" i="2"/>
  <c r="K86" i="4"/>
  <c r="L61" i="17" s="1"/>
  <c r="K114" i="4"/>
  <c r="K119" i="4"/>
  <c r="U34" i="41"/>
  <c r="U110" i="41"/>
  <c r="T91" i="41"/>
  <c r="T92" i="41"/>
  <c r="T105" i="41"/>
  <c r="T90" i="41"/>
  <c r="T127" i="41"/>
  <c r="U108" i="41"/>
  <c r="U123" i="41"/>
  <c r="U126" i="41" s="1"/>
  <c r="U82" i="41"/>
  <c r="U43" i="41"/>
  <c r="U116" i="41" s="1"/>
  <c r="U79" i="41"/>
  <c r="U125" i="41"/>
  <c r="T44" i="41"/>
  <c r="T115" i="41" s="1"/>
  <c r="U72" i="41"/>
  <c r="T69" i="12"/>
  <c r="T77" i="12"/>
  <c r="T24" i="40"/>
  <c r="T34" i="40" s="1"/>
  <c r="T85" i="40"/>
  <c r="T108" i="40"/>
  <c r="T116" i="40"/>
  <c r="T44" i="40"/>
  <c r="T115" i="40" s="1"/>
  <c r="T91" i="40"/>
  <c r="T75" i="40"/>
  <c r="T92" i="40"/>
  <c r="T105" i="40"/>
  <c r="T127" i="40"/>
  <c r="T90" i="40"/>
  <c r="T125" i="40"/>
  <c r="T123" i="40"/>
  <c r="T126" i="40" s="1"/>
  <c r="T92" i="12"/>
  <c r="T95" i="12" s="1"/>
  <c r="T75" i="12"/>
  <c r="T79" i="12"/>
  <c r="T26" i="12"/>
  <c r="T59" i="12"/>
  <c r="T65" i="12"/>
  <c r="T61" i="12"/>
  <c r="S11" i="30"/>
  <c r="S8" i="30" s="1"/>
  <c r="R5" i="41"/>
  <c r="S5" i="41"/>
  <c r="R6" i="41"/>
  <c r="S6" i="41"/>
  <c r="R7" i="41"/>
  <c r="R124" i="41" s="1"/>
  <c r="S7" i="41"/>
  <c r="S8" i="41" s="1"/>
  <c r="S14" i="41"/>
  <c r="S21" i="41"/>
  <c r="S102" i="41" s="1"/>
  <c r="S30" i="41"/>
  <c r="S36" i="41"/>
  <c r="S38" i="41"/>
  <c r="R45" i="41"/>
  <c r="S51" i="41"/>
  <c r="S55" i="41"/>
  <c r="S64" i="41"/>
  <c r="S63" i="40"/>
  <c r="S16" i="40"/>
  <c r="S23" i="40" s="1"/>
  <c r="S28" i="40"/>
  <c r="S33" i="40" s="1"/>
  <c r="S5" i="40"/>
  <c r="S13" i="40"/>
  <c r="S43" i="40"/>
  <c r="S109" i="40" s="1"/>
  <c r="S49" i="40"/>
  <c r="S57" i="40"/>
  <c r="S111" i="40" s="1"/>
  <c r="S70" i="40"/>
  <c r="S79" i="40" s="1"/>
  <c r="S71" i="40"/>
  <c r="S81" i="40"/>
  <c r="S82" i="40"/>
  <c r="S83" i="40"/>
  <c r="S84" i="40"/>
  <c r="S102" i="40"/>
  <c r="S103" i="40"/>
  <c r="S114" i="40"/>
  <c r="S118" i="40"/>
  <c r="S5" i="13"/>
  <c r="S6" i="13"/>
  <c r="S7" i="13"/>
  <c r="S8" i="13" s="1"/>
  <c r="S9" i="35" s="1"/>
  <c r="S50" i="13"/>
  <c r="S52" i="13"/>
  <c r="S55" i="13"/>
  <c r="S38" i="12"/>
  <c r="S90" i="12" s="1"/>
  <c r="S23" i="12"/>
  <c r="S20" i="12" s="1"/>
  <c r="S18" i="12"/>
  <c r="S5" i="12"/>
  <c r="S12" i="12"/>
  <c r="S13" i="12"/>
  <c r="S19" i="34" s="1"/>
  <c r="S50" i="12"/>
  <c r="S52" i="12"/>
  <c r="S69" i="12" s="1"/>
  <c r="S55" i="12"/>
  <c r="S59" i="12" s="1"/>
  <c r="S67" i="12"/>
  <c r="S71" i="12"/>
  <c r="S91" i="12"/>
  <c r="S93" i="12"/>
  <c r="S94" i="12"/>
  <c r="K41" i="26" l="1"/>
  <c r="L32" i="26"/>
  <c r="K44" i="4"/>
  <c r="K115" i="4" s="1"/>
  <c r="K108" i="4"/>
  <c r="K249" i="6"/>
  <c r="K120" i="4"/>
  <c r="K26" i="2"/>
  <c r="L50" i="17" s="1"/>
  <c r="K75" i="2"/>
  <c r="K82" i="2" s="1"/>
  <c r="K79" i="2"/>
  <c r="K259" i="6"/>
  <c r="K237" i="6"/>
  <c r="K92" i="8"/>
  <c r="U85" i="41"/>
  <c r="K72" i="4"/>
  <c r="K105" i="4" s="1"/>
  <c r="K89" i="8"/>
  <c r="S88" i="40"/>
  <c r="R37" i="41"/>
  <c r="R84" i="41" s="1"/>
  <c r="K88" i="8"/>
  <c r="K85" i="4"/>
  <c r="T110" i="41"/>
  <c r="T34" i="41"/>
  <c r="S22" i="34"/>
  <c r="S25" i="34"/>
  <c r="S39" i="34"/>
  <c r="S52" i="34"/>
  <c r="S66" i="34"/>
  <c r="S77" i="34"/>
  <c r="S24" i="34"/>
  <c r="S23" i="34"/>
  <c r="S26" i="34"/>
  <c r="K59" i="25"/>
  <c r="L60" i="25" s="1"/>
  <c r="U15" i="31"/>
  <c r="T48" i="31"/>
  <c r="K24" i="4"/>
  <c r="K243" i="6"/>
  <c r="K254" i="6" s="1"/>
  <c r="K42" i="26"/>
  <c r="K45" i="26"/>
  <c r="K71" i="26"/>
  <c r="L72" i="26" s="1"/>
  <c r="K40" i="26"/>
  <c r="K33" i="26"/>
  <c r="L34" i="26" s="1"/>
  <c r="K36" i="26"/>
  <c r="K38" i="26"/>
  <c r="K90" i="8"/>
  <c r="K46" i="26"/>
  <c r="K77" i="8"/>
  <c r="L78" i="8" s="1"/>
  <c r="T25" i="37"/>
  <c r="T20" i="13"/>
  <c r="T24" i="34"/>
  <c r="T22" i="34"/>
  <c r="T23" i="34"/>
  <c r="T25" i="34"/>
  <c r="T39" i="34"/>
  <c r="T52" i="34"/>
  <c r="T66" i="34"/>
  <c r="T77" i="34"/>
  <c r="T26" i="34"/>
  <c r="K132" i="6"/>
  <c r="S28" i="35"/>
  <c r="S68" i="35"/>
  <c r="S41" i="35"/>
  <c r="S57" i="35"/>
  <c r="S117" i="40"/>
  <c r="S13" i="41"/>
  <c r="S59" i="41"/>
  <c r="S53" i="41"/>
  <c r="S48" i="41"/>
  <c r="S42" i="41"/>
  <c r="S32" i="41"/>
  <c r="S27" i="41"/>
  <c r="S17" i="41"/>
  <c r="S9" i="41"/>
  <c r="T116" i="41"/>
  <c r="K48" i="27"/>
  <c r="K205" i="6"/>
  <c r="U68" i="40"/>
  <c r="U58" i="40"/>
  <c r="K39" i="26"/>
  <c r="K75" i="11"/>
  <c r="K82" i="11" s="1"/>
  <c r="K87" i="18"/>
  <c r="K79" i="11"/>
  <c r="K120" i="18"/>
  <c r="K26" i="11"/>
  <c r="T25" i="35"/>
  <c r="T63" i="35"/>
  <c r="T74" i="35"/>
  <c r="T49" i="35"/>
  <c r="T36" i="35"/>
  <c r="U49" i="35"/>
  <c r="U74" i="35"/>
  <c r="U25" i="35"/>
  <c r="U36" i="35"/>
  <c r="U63" i="35"/>
  <c r="K100" i="18"/>
  <c r="K99" i="18"/>
  <c r="K68" i="18"/>
  <c r="K58" i="18"/>
  <c r="U23" i="31"/>
  <c r="U33" i="31" s="1"/>
  <c r="U34" i="30"/>
  <c r="U11" i="30"/>
  <c r="K43" i="26"/>
  <c r="K37" i="26"/>
  <c r="U53" i="37"/>
  <c r="T13" i="31"/>
  <c r="K47" i="19"/>
  <c r="K50" i="19"/>
  <c r="K52" i="19"/>
  <c r="K128" i="18"/>
  <c r="K94" i="18"/>
  <c r="K95" i="18"/>
  <c r="K96" i="18"/>
  <c r="K97" i="18"/>
  <c r="K106" i="18"/>
  <c r="K93" i="18"/>
  <c r="K28" i="2"/>
  <c r="K81" i="2"/>
  <c r="L51" i="17" s="1"/>
  <c r="K98" i="2"/>
  <c r="K97" i="2"/>
  <c r="K65" i="27" s="1"/>
  <c r="U58" i="41"/>
  <c r="T112" i="41"/>
  <c r="T58" i="41"/>
  <c r="T99" i="41"/>
  <c r="U99" i="41"/>
  <c r="U91" i="41"/>
  <c r="U90" i="41"/>
  <c r="U92" i="41"/>
  <c r="U105" i="41"/>
  <c r="U127" i="41"/>
  <c r="U109" i="41"/>
  <c r="U112" i="41" s="1"/>
  <c r="U117" i="41"/>
  <c r="U44" i="41"/>
  <c r="U115" i="41" s="1"/>
  <c r="R52" i="41"/>
  <c r="R14" i="41"/>
  <c r="R30" i="41"/>
  <c r="R21" i="41"/>
  <c r="R102" i="41" s="1"/>
  <c r="R29" i="41"/>
  <c r="R83" i="41" s="1"/>
  <c r="R56" i="41"/>
  <c r="R42" i="41"/>
  <c r="R19" i="41"/>
  <c r="R41" i="41"/>
  <c r="R27" i="41"/>
  <c r="R10" i="41"/>
  <c r="R64" i="41"/>
  <c r="R40" i="41"/>
  <c r="R114" i="41" s="1"/>
  <c r="R26" i="41"/>
  <c r="R62" i="41"/>
  <c r="R54" i="41"/>
  <c r="R103" i="41" s="1"/>
  <c r="R104" i="41" s="1"/>
  <c r="R48" i="41"/>
  <c r="R39" i="41"/>
  <c r="R32" i="41"/>
  <c r="R25" i="41"/>
  <c r="R17" i="41"/>
  <c r="R9" i="41"/>
  <c r="R59" i="41"/>
  <c r="R20" i="41"/>
  <c r="R12" i="41"/>
  <c r="R65" i="41"/>
  <c r="R51" i="41"/>
  <c r="R36" i="41"/>
  <c r="R11" i="41"/>
  <c r="R50" i="41"/>
  <c r="R35" i="41"/>
  <c r="R18" i="41"/>
  <c r="R55" i="41"/>
  <c r="R61" i="41"/>
  <c r="R47" i="41"/>
  <c r="R31" i="41"/>
  <c r="R22" i="41"/>
  <c r="R15" i="41"/>
  <c r="R8" i="41"/>
  <c r="R60" i="41"/>
  <c r="R53" i="41"/>
  <c r="R46" i="41"/>
  <c r="R38" i="41"/>
  <c r="R118" i="41" s="1"/>
  <c r="S61" i="41"/>
  <c r="S40" i="41"/>
  <c r="S114" i="41" s="1"/>
  <c r="S19" i="41"/>
  <c r="S11" i="41"/>
  <c r="S63" i="41"/>
  <c r="S46" i="41"/>
  <c r="S25" i="41"/>
  <c r="S18" i="13"/>
  <c r="S15" i="37" s="1"/>
  <c r="T110" i="40"/>
  <c r="T68" i="40"/>
  <c r="T58" i="40"/>
  <c r="T99" i="40"/>
  <c r="T100" i="40"/>
  <c r="T95" i="40"/>
  <c r="T128" i="40"/>
  <c r="T96" i="40"/>
  <c r="T106" i="40"/>
  <c r="T94" i="40"/>
  <c r="T112" i="40"/>
  <c r="T82" i="12"/>
  <c r="T28" i="12"/>
  <c r="T81" i="12"/>
  <c r="T98" i="12"/>
  <c r="S41" i="13"/>
  <c r="S27" i="13"/>
  <c r="S23" i="13"/>
  <c r="S25" i="37" s="1"/>
  <c r="S36" i="13"/>
  <c r="S19" i="13"/>
  <c r="S17" i="37" s="1"/>
  <c r="S124" i="41"/>
  <c r="S46" i="13"/>
  <c r="S33" i="13"/>
  <c r="S15" i="13"/>
  <c r="S9" i="37" s="1"/>
  <c r="S28" i="41"/>
  <c r="S65" i="41"/>
  <c r="S62" i="41"/>
  <c r="S60" i="41"/>
  <c r="S56" i="41"/>
  <c r="S54" i="41"/>
  <c r="S103" i="41" s="1"/>
  <c r="S104" i="41" s="1"/>
  <c r="S52" i="41"/>
  <c r="S50" i="41"/>
  <c r="S47" i="41"/>
  <c r="S45" i="41"/>
  <c r="S41" i="41"/>
  <c r="S39" i="41"/>
  <c r="S37" i="41"/>
  <c r="S84" i="41" s="1"/>
  <c r="S35" i="41"/>
  <c r="S31" i="41"/>
  <c r="S29" i="41"/>
  <c r="S83" i="41" s="1"/>
  <c r="S26" i="41"/>
  <c r="S22" i="41"/>
  <c r="S20" i="41"/>
  <c r="S18" i="41"/>
  <c r="S15" i="41"/>
  <c r="S12" i="41"/>
  <c r="S10" i="41"/>
  <c r="S42" i="13"/>
  <c r="S32" i="13"/>
  <c r="S11" i="13"/>
  <c r="S15" i="35" s="1"/>
  <c r="S66" i="40"/>
  <c r="S125" i="40" s="1"/>
  <c r="S38" i="13"/>
  <c r="S90" i="13" s="1"/>
  <c r="S104" i="40"/>
  <c r="S57" i="12"/>
  <c r="S24" i="12"/>
  <c r="S26" i="12" s="1"/>
  <c r="S44" i="13"/>
  <c r="S39" i="13"/>
  <c r="S91" i="13" s="1"/>
  <c r="S34" i="13"/>
  <c r="S29" i="13"/>
  <c r="S29" i="37" s="1"/>
  <c r="S21" i="13"/>
  <c r="S16" i="13"/>
  <c r="S9" i="13"/>
  <c r="S72" i="40"/>
  <c r="S61" i="12"/>
  <c r="S118" i="41"/>
  <c r="S16" i="41"/>
  <c r="S40" i="13"/>
  <c r="S35" i="13"/>
  <c r="S31" i="13"/>
  <c r="S22" i="13"/>
  <c r="S23" i="37" s="1"/>
  <c r="S17" i="13"/>
  <c r="S13" i="37" s="1"/>
  <c r="S10" i="13"/>
  <c r="S13" i="35" s="1"/>
  <c r="S82" i="41"/>
  <c r="S85" i="40"/>
  <c r="S123" i="40"/>
  <c r="S126" i="40" s="1"/>
  <c r="S116" i="40"/>
  <c r="S44" i="40"/>
  <c r="S115" i="40" s="1"/>
  <c r="S108" i="40"/>
  <c r="S92" i="40"/>
  <c r="S24" i="40"/>
  <c r="S57" i="13"/>
  <c r="S69" i="13"/>
  <c r="S67" i="13"/>
  <c r="S54" i="13"/>
  <c r="S65" i="12"/>
  <c r="S92" i="12"/>
  <c r="S95" i="12" s="1"/>
  <c r="S63" i="12"/>
  <c r="S77" i="12"/>
  <c r="S54" i="12"/>
  <c r="R17" i="30"/>
  <c r="U17" i="30" s="1"/>
  <c r="U17" i="31" s="1"/>
  <c r="R19" i="30"/>
  <c r="U19" i="30" s="1"/>
  <c r="U19" i="31" s="1"/>
  <c r="R8" i="30"/>
  <c r="U8" i="30" s="1"/>
  <c r="R63" i="40"/>
  <c r="R63" i="41" s="1"/>
  <c r="R28" i="40"/>
  <c r="R28" i="41" s="1"/>
  <c r="R16" i="40"/>
  <c r="R16" i="41" s="1"/>
  <c r="K92" i="4" l="1"/>
  <c r="K51" i="27"/>
  <c r="K127" i="4"/>
  <c r="K91" i="4"/>
  <c r="K75" i="4"/>
  <c r="S27" i="34"/>
  <c r="S79" i="12"/>
  <c r="K47" i="26"/>
  <c r="K93" i="8"/>
  <c r="U8" i="31"/>
  <c r="U43" i="30"/>
  <c r="S53" i="37"/>
  <c r="S77" i="13"/>
  <c r="S11" i="37"/>
  <c r="S69" i="37"/>
  <c r="S93" i="13"/>
  <c r="S27" i="37"/>
  <c r="T55" i="31"/>
  <c r="T57" i="31" s="1"/>
  <c r="T63" i="31" s="1"/>
  <c r="T42" i="31"/>
  <c r="T39" i="31"/>
  <c r="T34" i="31"/>
  <c r="U12" i="30"/>
  <c r="U13" i="30" s="1"/>
  <c r="U11" i="31"/>
  <c r="U12" i="31" s="1"/>
  <c r="K28" i="11"/>
  <c r="K81" i="11"/>
  <c r="K98" i="11"/>
  <c r="T27" i="34"/>
  <c r="T19" i="37"/>
  <c r="T24" i="13"/>
  <c r="K73" i="26"/>
  <c r="L74" i="26" s="1"/>
  <c r="T43" i="31"/>
  <c r="U22" i="30"/>
  <c r="S17" i="35"/>
  <c r="S32" i="35"/>
  <c r="S54" i="35"/>
  <c r="S45" i="35"/>
  <c r="S59" i="35"/>
  <c r="S70" i="35"/>
  <c r="S63" i="37"/>
  <c r="S59" i="13"/>
  <c r="S11" i="35"/>
  <c r="S94" i="13"/>
  <c r="S21" i="37"/>
  <c r="S47" i="35"/>
  <c r="S34" i="35"/>
  <c r="S61" i="35"/>
  <c r="S72" i="35"/>
  <c r="S49" i="37"/>
  <c r="S57" i="37"/>
  <c r="S65" i="37"/>
  <c r="S55" i="37"/>
  <c r="T65" i="37"/>
  <c r="L36" i="17"/>
  <c r="M37" i="17" s="1"/>
  <c r="L38" i="17"/>
  <c r="M39" i="17" s="1"/>
  <c r="K87" i="2"/>
  <c r="L40" i="17"/>
  <c r="M41" i="17" s="1"/>
  <c r="K110" i="4"/>
  <c r="K112" i="4" s="1"/>
  <c r="K34" i="4"/>
  <c r="U22" i="31"/>
  <c r="K71" i="25"/>
  <c r="L72" i="25" s="1"/>
  <c r="K130" i="18"/>
  <c r="K98" i="18"/>
  <c r="K99" i="2"/>
  <c r="K30" i="2"/>
  <c r="L52" i="17" s="1"/>
  <c r="K90" i="4"/>
  <c r="K129" i="4"/>
  <c r="S92" i="13"/>
  <c r="S95" i="13" s="1"/>
  <c r="R49" i="41"/>
  <c r="R57" i="41"/>
  <c r="R111" i="41" s="1"/>
  <c r="R71" i="41"/>
  <c r="R81" i="41"/>
  <c r="R70" i="41"/>
  <c r="R79" i="41" s="1"/>
  <c r="S13" i="13"/>
  <c r="S19" i="35" s="1"/>
  <c r="S24" i="35" s="1"/>
  <c r="S20" i="13"/>
  <c r="R23" i="41"/>
  <c r="R33" i="41"/>
  <c r="R116" i="41" s="1"/>
  <c r="R43" i="41"/>
  <c r="R109" i="41" s="1"/>
  <c r="R82" i="41"/>
  <c r="S71" i="41"/>
  <c r="R66" i="41"/>
  <c r="R123" i="41" s="1"/>
  <c r="R126" i="41" s="1"/>
  <c r="S81" i="41"/>
  <c r="S85" i="41" s="1"/>
  <c r="S49" i="41"/>
  <c r="S12" i="13"/>
  <c r="S61" i="13"/>
  <c r="T30" i="12"/>
  <c r="T99" i="12"/>
  <c r="S91" i="40"/>
  <c r="S70" i="41"/>
  <c r="S79" i="41" s="1"/>
  <c r="S33" i="41"/>
  <c r="S108" i="41" s="1"/>
  <c r="S23" i="41"/>
  <c r="S24" i="41" s="1"/>
  <c r="S110" i="41" s="1"/>
  <c r="S43" i="41"/>
  <c r="S117" i="41" s="1"/>
  <c r="S57" i="41"/>
  <c r="S111" i="41" s="1"/>
  <c r="S66" i="41"/>
  <c r="S125" i="41" s="1"/>
  <c r="S75" i="12"/>
  <c r="S82" i="12" s="1"/>
  <c r="S75" i="40"/>
  <c r="S95" i="40" s="1"/>
  <c r="S127" i="40"/>
  <c r="S90" i="40"/>
  <c r="S71" i="13"/>
  <c r="S105" i="40"/>
  <c r="S34" i="40"/>
  <c r="S110" i="40"/>
  <c r="S112" i="40" s="1"/>
  <c r="S106" i="40"/>
  <c r="S65" i="13"/>
  <c r="S63" i="13"/>
  <c r="S28" i="12"/>
  <c r="S81" i="12"/>
  <c r="S98" i="12"/>
  <c r="R42" i="12"/>
  <c r="U42" i="12" s="1"/>
  <c r="U42" i="13" s="1"/>
  <c r="R40" i="12"/>
  <c r="U40" i="12" s="1"/>
  <c r="U40" i="13" s="1"/>
  <c r="R38" i="12"/>
  <c r="U38" i="12" s="1"/>
  <c r="R23" i="12"/>
  <c r="U23" i="12" s="1"/>
  <c r="R18" i="12"/>
  <c r="U18" i="12" s="1"/>
  <c r="U18" i="13" s="1"/>
  <c r="K50" i="27" l="1"/>
  <c r="L58" i="17"/>
  <c r="K52" i="27"/>
  <c r="K97" i="4"/>
  <c r="K94" i="4"/>
  <c r="K47" i="27"/>
  <c r="K106" i="4"/>
  <c r="K93" i="4"/>
  <c r="L59" i="17" s="1"/>
  <c r="K95" i="4"/>
  <c r="K96" i="4"/>
  <c r="K128" i="4"/>
  <c r="R125" i="41"/>
  <c r="S128" i="40"/>
  <c r="R72" i="41"/>
  <c r="R88" i="41"/>
  <c r="U44" i="30"/>
  <c r="U40" i="30"/>
  <c r="U35" i="30"/>
  <c r="U38" i="30" s="1"/>
  <c r="U56" i="30"/>
  <c r="U58" i="30" s="1"/>
  <c r="S24" i="13"/>
  <c r="S19" i="37"/>
  <c r="K87" i="11"/>
  <c r="S36" i="35"/>
  <c r="S63" i="35"/>
  <c r="S74" i="35"/>
  <c r="S25" i="35"/>
  <c r="S49" i="35"/>
  <c r="T75" i="13"/>
  <c r="T79" i="13"/>
  <c r="T26" i="13"/>
  <c r="K30" i="11"/>
  <c r="L26" i="17" s="1"/>
  <c r="K129" i="18"/>
  <c r="K90" i="18"/>
  <c r="K99" i="11"/>
  <c r="S51" i="37"/>
  <c r="U23" i="13"/>
  <c r="U20" i="12"/>
  <c r="U24" i="12" s="1"/>
  <c r="U15" i="37"/>
  <c r="U90" i="12"/>
  <c r="U38" i="13"/>
  <c r="U90" i="13" s="1"/>
  <c r="U92" i="13" s="1"/>
  <c r="U95" i="13" s="1"/>
  <c r="S94" i="40"/>
  <c r="S96" i="40"/>
  <c r="R91" i="41"/>
  <c r="S88" i="41"/>
  <c r="S51" i="35"/>
  <c r="S38" i="35"/>
  <c r="S65" i="35"/>
  <c r="S76" i="35"/>
  <c r="S22" i="35"/>
  <c r="K73" i="25"/>
  <c r="L74" i="25" s="1"/>
  <c r="L55" i="17"/>
  <c r="K58" i="4"/>
  <c r="K99" i="4"/>
  <c r="K68" i="4"/>
  <c r="K100" i="4"/>
  <c r="S61" i="37"/>
  <c r="S23" i="35"/>
  <c r="T59" i="37"/>
  <c r="T41" i="37"/>
  <c r="T31" i="37"/>
  <c r="K65" i="19"/>
  <c r="U48" i="31"/>
  <c r="S67" i="37"/>
  <c r="U13" i="31"/>
  <c r="K37" i="2"/>
  <c r="K43" i="2" s="1"/>
  <c r="K45" i="2" s="1"/>
  <c r="K47" i="2" s="1"/>
  <c r="K101" i="2"/>
  <c r="L53" i="17" s="1"/>
  <c r="K102" i="2"/>
  <c r="K103" i="2"/>
  <c r="K83" i="2"/>
  <c r="L84" i="2" s="1"/>
  <c r="K85" i="2"/>
  <c r="L86" i="2" s="1"/>
  <c r="R85" i="41"/>
  <c r="R127" i="41"/>
  <c r="R44" i="41"/>
  <c r="R115" i="41" s="1"/>
  <c r="R108" i="41"/>
  <c r="S79" i="13"/>
  <c r="S26" i="13"/>
  <c r="S28" i="13" s="1"/>
  <c r="S75" i="13"/>
  <c r="S82" i="13" s="1"/>
  <c r="S109" i="41"/>
  <c r="S112" i="41" s="1"/>
  <c r="R117" i="41"/>
  <c r="S72" i="41"/>
  <c r="R92" i="41"/>
  <c r="R105" i="41"/>
  <c r="R90" i="41"/>
  <c r="S123" i="41"/>
  <c r="S126" i="41" s="1"/>
  <c r="S116" i="41"/>
  <c r="S34" i="41"/>
  <c r="S44" i="41"/>
  <c r="S115" i="41" s="1"/>
  <c r="T83" i="12"/>
  <c r="T85" i="12"/>
  <c r="T103" i="12"/>
  <c r="T37" i="12"/>
  <c r="T43" i="12" s="1"/>
  <c r="T45" i="12" s="1"/>
  <c r="T47" i="12" s="1"/>
  <c r="T101" i="12"/>
  <c r="T102" i="12"/>
  <c r="S68" i="40"/>
  <c r="S58" i="40"/>
  <c r="S99" i="40"/>
  <c r="S100" i="40"/>
  <c r="S81" i="13"/>
  <c r="S30" i="12"/>
  <c r="S99" i="12"/>
  <c r="Q12" i="30"/>
  <c r="Q36" i="30"/>
  <c r="J16" i="18"/>
  <c r="J28" i="18"/>
  <c r="J42" i="11"/>
  <c r="J18" i="11"/>
  <c r="K98" i="4" l="1"/>
  <c r="K130" i="4"/>
  <c r="U55" i="31"/>
  <c r="U57" i="31" s="1"/>
  <c r="U63" i="31" s="1"/>
  <c r="U42" i="31"/>
  <c r="U39" i="31"/>
  <c r="U34" i="31"/>
  <c r="L42" i="17"/>
  <c r="M43" i="17" s="1"/>
  <c r="S26" i="35"/>
  <c r="U92" i="12"/>
  <c r="U95" i="12" s="1"/>
  <c r="U46" i="30"/>
  <c r="U55" i="37"/>
  <c r="U25" i="37"/>
  <c r="U20" i="13"/>
  <c r="K101" i="11"/>
  <c r="K85" i="11"/>
  <c r="K102" i="11"/>
  <c r="K83" i="11"/>
  <c r="K88" i="11" s="1"/>
  <c r="K37" i="11"/>
  <c r="K43" i="11" s="1"/>
  <c r="K45" i="11" s="1"/>
  <c r="K47" i="11" s="1"/>
  <c r="K103" i="11"/>
  <c r="T82" i="13"/>
  <c r="U43" i="31"/>
  <c r="T33" i="37"/>
  <c r="T71" i="37"/>
  <c r="T40" i="37"/>
  <c r="T45" i="37"/>
  <c r="T46" i="37"/>
  <c r="T43" i="37"/>
  <c r="T36" i="37"/>
  <c r="T47" i="37" s="1"/>
  <c r="T42" i="37"/>
  <c r="T38" i="37"/>
  <c r="T37" i="37"/>
  <c r="T39" i="37"/>
  <c r="T44" i="37"/>
  <c r="U75" i="12"/>
  <c r="U26" i="12"/>
  <c r="U79" i="12"/>
  <c r="T81" i="13"/>
  <c r="T28" i="13"/>
  <c r="T98" i="13"/>
  <c r="S59" i="37"/>
  <c r="S31" i="37"/>
  <c r="K88" i="2"/>
  <c r="S98" i="13"/>
  <c r="S127" i="41"/>
  <c r="S90" i="41"/>
  <c r="S105" i="41"/>
  <c r="S92" i="41"/>
  <c r="S91" i="41"/>
  <c r="S58" i="41"/>
  <c r="S99" i="41"/>
  <c r="T88" i="12"/>
  <c r="S30" i="13"/>
  <c r="S99" i="13"/>
  <c r="S101" i="12"/>
  <c r="S85" i="12"/>
  <c r="S102" i="12"/>
  <c r="S37" i="12"/>
  <c r="S43" i="12" s="1"/>
  <c r="S45" i="12" s="1"/>
  <c r="S47" i="12" s="1"/>
  <c r="S103" i="12"/>
  <c r="S83" i="12"/>
  <c r="P15" i="30"/>
  <c r="P8" i="30"/>
  <c r="P64" i="40"/>
  <c r="P63" i="40"/>
  <c r="P62" i="40"/>
  <c r="P59" i="40"/>
  <c r="P40" i="40"/>
  <c r="P21" i="40"/>
  <c r="P19" i="40"/>
  <c r="P16" i="40"/>
  <c r="P28" i="40"/>
  <c r="P32" i="40" s="1"/>
  <c r="P42" i="12"/>
  <c r="P40" i="12"/>
  <c r="P38" i="12"/>
  <c r="P39" i="12"/>
  <c r="P41" i="12"/>
  <c r="P23" i="12"/>
  <c r="P18" i="12"/>
  <c r="P16" i="12"/>
  <c r="L16" i="12"/>
  <c r="P11" i="12"/>
  <c r="P10" i="12"/>
  <c r="P8" i="12"/>
  <c r="S71" i="37" l="1"/>
  <c r="S33" i="37"/>
  <c r="S46" i="37"/>
  <c r="S36" i="37"/>
  <c r="S44" i="37"/>
  <c r="S38" i="37"/>
  <c r="S43" i="37"/>
  <c r="S40" i="37"/>
  <c r="S39" i="37"/>
  <c r="S37" i="37"/>
  <c r="S42" i="37"/>
  <c r="S45" i="37"/>
  <c r="U82" i="12"/>
  <c r="T73" i="37"/>
  <c r="U19" i="37"/>
  <c r="U24" i="13"/>
  <c r="S41" i="37"/>
  <c r="T30" i="13"/>
  <c r="T99" i="13"/>
  <c r="U28" i="12"/>
  <c r="U81" i="12"/>
  <c r="U65" i="37"/>
  <c r="U98" i="12"/>
  <c r="S101" i="13"/>
  <c r="S37" i="13"/>
  <c r="S43" i="13" s="1"/>
  <c r="S45" i="13" s="1"/>
  <c r="S47" i="13" s="1"/>
  <c r="S103" i="13"/>
  <c r="S102" i="13"/>
  <c r="S83" i="13"/>
  <c r="S85" i="13"/>
  <c r="S88" i="12"/>
  <c r="M65" i="40"/>
  <c r="I65" i="40"/>
  <c r="E65" i="40"/>
  <c r="M64" i="40"/>
  <c r="I64" i="40"/>
  <c r="E64" i="40"/>
  <c r="M63" i="40"/>
  <c r="I63" i="40"/>
  <c r="E63" i="40"/>
  <c r="M62" i="40"/>
  <c r="I62" i="40"/>
  <c r="E62" i="40"/>
  <c r="M61" i="40"/>
  <c r="I61" i="40"/>
  <c r="E61" i="40"/>
  <c r="M60" i="40"/>
  <c r="I60" i="40"/>
  <c r="E60" i="40"/>
  <c r="M59" i="40"/>
  <c r="I59" i="40"/>
  <c r="E59" i="40"/>
  <c r="O63" i="40"/>
  <c r="O34" i="30"/>
  <c r="N34" i="30"/>
  <c r="M34" i="30"/>
  <c r="L34" i="30"/>
  <c r="K34" i="30"/>
  <c r="J34" i="30"/>
  <c r="I34" i="30"/>
  <c r="H34" i="30"/>
  <c r="G34" i="30"/>
  <c r="E34" i="30"/>
  <c r="D34" i="30"/>
  <c r="C34" i="30"/>
  <c r="B34" i="30"/>
  <c r="F33" i="30"/>
  <c r="F34" i="30" s="1"/>
  <c r="O22" i="30"/>
  <c r="N22" i="30"/>
  <c r="M22" i="30"/>
  <c r="L22" i="30"/>
  <c r="K22" i="30"/>
  <c r="J22" i="30"/>
  <c r="I22" i="30"/>
  <c r="H22" i="30"/>
  <c r="G22" i="30"/>
  <c r="F22" i="30"/>
  <c r="E22" i="30"/>
  <c r="D22" i="30"/>
  <c r="C22" i="30"/>
  <c r="B22" i="30"/>
  <c r="O12" i="30"/>
  <c r="N12" i="30"/>
  <c r="M12" i="30"/>
  <c r="M13" i="30" s="1"/>
  <c r="I12" i="30"/>
  <c r="I13" i="30" s="1"/>
  <c r="F12" i="30"/>
  <c r="E12" i="30"/>
  <c r="E13" i="30" s="1"/>
  <c r="L11" i="30"/>
  <c r="L12" i="30" s="1"/>
  <c r="K11" i="30"/>
  <c r="K12" i="30" s="1"/>
  <c r="J11" i="30"/>
  <c r="J12" i="30" s="1"/>
  <c r="H11" i="30"/>
  <c r="H12" i="30" s="1"/>
  <c r="G11" i="30"/>
  <c r="G12" i="30" s="1"/>
  <c r="D11" i="30"/>
  <c r="D12" i="30" s="1"/>
  <c r="C11" i="30"/>
  <c r="C12" i="30" s="1"/>
  <c r="B11" i="30"/>
  <c r="B12" i="30" s="1"/>
  <c r="O8" i="30"/>
  <c r="N8" i="30"/>
  <c r="L8" i="30"/>
  <c r="K8" i="30"/>
  <c r="J8" i="30"/>
  <c r="H8" i="30"/>
  <c r="G8" i="30"/>
  <c r="F8" i="30"/>
  <c r="D8" i="30"/>
  <c r="C8" i="30"/>
  <c r="B8" i="30"/>
  <c r="H33" i="19"/>
  <c r="G33" i="19"/>
  <c r="D21" i="19"/>
  <c r="B21" i="19"/>
  <c r="H8" i="19"/>
  <c r="G8" i="19"/>
  <c r="F8" i="19"/>
  <c r="E8" i="19"/>
  <c r="D8" i="19"/>
  <c r="C8" i="19"/>
  <c r="B8" i="19"/>
  <c r="M56" i="40"/>
  <c r="I56" i="40"/>
  <c r="E56" i="40"/>
  <c r="M55" i="40"/>
  <c r="I55" i="40"/>
  <c r="E55" i="40"/>
  <c r="M54" i="40"/>
  <c r="I54" i="40"/>
  <c r="E54" i="40"/>
  <c r="M53" i="40"/>
  <c r="I53" i="40"/>
  <c r="E53" i="40"/>
  <c r="M52" i="40"/>
  <c r="I52" i="40"/>
  <c r="E52" i="40"/>
  <c r="M51" i="40"/>
  <c r="I51" i="40"/>
  <c r="E51" i="40"/>
  <c r="M50" i="40"/>
  <c r="I50" i="40"/>
  <c r="E50" i="40"/>
  <c r="M48" i="40"/>
  <c r="I48" i="40"/>
  <c r="E48" i="40"/>
  <c r="M47" i="40"/>
  <c r="I47" i="40"/>
  <c r="E47" i="40"/>
  <c r="M46" i="40"/>
  <c r="I46" i="40"/>
  <c r="E46" i="40"/>
  <c r="M45" i="40"/>
  <c r="I45" i="40"/>
  <c r="E45" i="40"/>
  <c r="M42" i="40"/>
  <c r="I42" i="40"/>
  <c r="E42" i="40"/>
  <c r="M41" i="40"/>
  <c r="I41" i="40"/>
  <c r="E41" i="40"/>
  <c r="M40" i="40"/>
  <c r="I40" i="40"/>
  <c r="E40" i="40"/>
  <c r="M39" i="40"/>
  <c r="I39" i="40"/>
  <c r="E39" i="40"/>
  <c r="M38" i="40"/>
  <c r="I38" i="40"/>
  <c r="E38" i="40"/>
  <c r="M37" i="40"/>
  <c r="I37" i="40"/>
  <c r="E37" i="40"/>
  <c r="M36" i="40"/>
  <c r="I36" i="40"/>
  <c r="E36" i="40"/>
  <c r="M35" i="40"/>
  <c r="I35" i="40"/>
  <c r="E35" i="40"/>
  <c r="M32" i="40"/>
  <c r="I32" i="40"/>
  <c r="M31" i="40"/>
  <c r="I31" i="40"/>
  <c r="E31" i="40"/>
  <c r="M30" i="40"/>
  <c r="I30" i="40"/>
  <c r="E30" i="40"/>
  <c r="M29" i="40"/>
  <c r="I29" i="40"/>
  <c r="E29" i="40"/>
  <c r="M27" i="40"/>
  <c r="I27" i="40"/>
  <c r="E27" i="40"/>
  <c r="M26" i="40"/>
  <c r="I26" i="40"/>
  <c r="E26" i="40"/>
  <c r="M25" i="40"/>
  <c r="I25" i="40"/>
  <c r="E25" i="40"/>
  <c r="M22" i="40"/>
  <c r="I22" i="40"/>
  <c r="E22" i="40"/>
  <c r="I21" i="40"/>
  <c r="E21" i="40"/>
  <c r="M20" i="40"/>
  <c r="I20" i="40"/>
  <c r="E20" i="40"/>
  <c r="M19" i="40"/>
  <c r="I19" i="40"/>
  <c r="E19" i="40"/>
  <c r="M18" i="40"/>
  <c r="I18" i="40"/>
  <c r="E18" i="40"/>
  <c r="M17" i="40"/>
  <c r="I17" i="40"/>
  <c r="E17" i="40"/>
  <c r="M15" i="40"/>
  <c r="I15" i="40"/>
  <c r="E15" i="40"/>
  <c r="M14" i="40"/>
  <c r="I14" i="40"/>
  <c r="E14" i="40"/>
  <c r="M12" i="40"/>
  <c r="I12" i="40"/>
  <c r="E12" i="40"/>
  <c r="M11" i="40"/>
  <c r="I11" i="40"/>
  <c r="E11" i="40"/>
  <c r="M10" i="40"/>
  <c r="I10" i="40"/>
  <c r="E10" i="40"/>
  <c r="M9" i="40"/>
  <c r="I9" i="40"/>
  <c r="E9" i="40"/>
  <c r="M8" i="40"/>
  <c r="O49" i="40"/>
  <c r="N49" i="40"/>
  <c r="L49" i="40"/>
  <c r="K49" i="40"/>
  <c r="J49" i="40"/>
  <c r="H49" i="40"/>
  <c r="G49" i="40"/>
  <c r="F49" i="40"/>
  <c r="D49" i="40"/>
  <c r="C49" i="40"/>
  <c r="B49" i="40"/>
  <c r="O43" i="40"/>
  <c r="N43" i="40"/>
  <c r="L43" i="40"/>
  <c r="K43" i="40"/>
  <c r="J43" i="40"/>
  <c r="H43" i="40"/>
  <c r="G43" i="40"/>
  <c r="F43" i="40"/>
  <c r="D43" i="40"/>
  <c r="C43" i="40"/>
  <c r="B43" i="40"/>
  <c r="O32" i="40"/>
  <c r="G32" i="40"/>
  <c r="F32" i="40"/>
  <c r="D32" i="40"/>
  <c r="C32" i="40"/>
  <c r="B32" i="40"/>
  <c r="F30" i="40"/>
  <c r="D30" i="40"/>
  <c r="B30" i="40"/>
  <c r="O28" i="40"/>
  <c r="N28" i="40"/>
  <c r="N33" i="40" s="1"/>
  <c r="N44" i="40" s="1"/>
  <c r="L28" i="40"/>
  <c r="K28" i="40"/>
  <c r="K33" i="40" s="1"/>
  <c r="K44" i="40" s="1"/>
  <c r="J28" i="40"/>
  <c r="J33" i="40" s="1"/>
  <c r="J44" i="40" s="1"/>
  <c r="H28" i="40"/>
  <c r="H33" i="40" s="1"/>
  <c r="H44" i="40" s="1"/>
  <c r="G28" i="40"/>
  <c r="F28" i="40"/>
  <c r="D28" i="40"/>
  <c r="C28" i="40"/>
  <c r="B28" i="40"/>
  <c r="F27" i="40"/>
  <c r="G26" i="40"/>
  <c r="F26" i="40"/>
  <c r="B26" i="40"/>
  <c r="G25" i="40"/>
  <c r="F25" i="40"/>
  <c r="B25" i="40"/>
  <c r="G21" i="40"/>
  <c r="D21" i="40"/>
  <c r="C21" i="40"/>
  <c r="O16" i="40"/>
  <c r="O23" i="40" s="1"/>
  <c r="N16" i="40"/>
  <c r="N23" i="40" s="1"/>
  <c r="L16" i="40"/>
  <c r="L23" i="40" s="1"/>
  <c r="K16" i="40"/>
  <c r="K23" i="40" s="1"/>
  <c r="J16" i="40"/>
  <c r="J23" i="40" s="1"/>
  <c r="H16" i="40"/>
  <c r="H23" i="40" s="1"/>
  <c r="G16" i="40"/>
  <c r="F16" i="40"/>
  <c r="F23" i="40" s="1"/>
  <c r="D16" i="40"/>
  <c r="C16" i="40"/>
  <c r="B16" i="40"/>
  <c r="B23" i="40" s="1"/>
  <c r="O13" i="40"/>
  <c r="N13" i="40"/>
  <c r="L13" i="40"/>
  <c r="K13" i="40"/>
  <c r="J13" i="40"/>
  <c r="H13" i="40"/>
  <c r="G13" i="40"/>
  <c r="F13" i="40"/>
  <c r="D13" i="40"/>
  <c r="C13" i="40"/>
  <c r="B13" i="40"/>
  <c r="B56" i="18"/>
  <c r="G32" i="18"/>
  <c r="E32" i="40" s="1"/>
  <c r="I28" i="18"/>
  <c r="M28" i="40" s="1"/>
  <c r="H28" i="18"/>
  <c r="I28" i="40" s="1"/>
  <c r="G28" i="18"/>
  <c r="E28" i="40" s="1"/>
  <c r="F28" i="18"/>
  <c r="E28" i="18"/>
  <c r="D28" i="18"/>
  <c r="C28" i="18"/>
  <c r="B28" i="18"/>
  <c r="I21" i="18"/>
  <c r="M21" i="40" s="1"/>
  <c r="I16" i="18"/>
  <c r="M16" i="40" s="1"/>
  <c r="H16" i="18"/>
  <c r="I16" i="40" s="1"/>
  <c r="G16" i="18"/>
  <c r="E16" i="40" s="1"/>
  <c r="F16" i="18"/>
  <c r="E16" i="18"/>
  <c r="D16" i="18"/>
  <c r="C16" i="18"/>
  <c r="B12" i="18"/>
  <c r="B11" i="18"/>
  <c r="B9" i="18"/>
  <c r="H8" i="18"/>
  <c r="I8" i="40" s="1"/>
  <c r="G8" i="18"/>
  <c r="E8" i="40" s="1"/>
  <c r="F8" i="18"/>
  <c r="E8" i="18"/>
  <c r="D8" i="18"/>
  <c r="C8" i="18"/>
  <c r="B8" i="18"/>
  <c r="I22" i="12"/>
  <c r="E22" i="12"/>
  <c r="I19" i="12"/>
  <c r="E19" i="12"/>
  <c r="I16" i="12"/>
  <c r="E16" i="12"/>
  <c r="I15" i="12"/>
  <c r="E15" i="12"/>
  <c r="N42" i="12"/>
  <c r="L42" i="12"/>
  <c r="O38" i="12"/>
  <c r="N38" i="12"/>
  <c r="L38" i="12"/>
  <c r="K38" i="12"/>
  <c r="J38" i="12"/>
  <c r="H38" i="12"/>
  <c r="G38" i="12"/>
  <c r="F38" i="12"/>
  <c r="D38" i="12"/>
  <c r="C38" i="12"/>
  <c r="B38" i="12"/>
  <c r="O36" i="12"/>
  <c r="J36" i="12"/>
  <c r="H36" i="12"/>
  <c r="F36" i="12"/>
  <c r="D36" i="12"/>
  <c r="C36" i="12"/>
  <c r="O23" i="12"/>
  <c r="N23" i="12"/>
  <c r="L23" i="12"/>
  <c r="K23" i="12"/>
  <c r="J23" i="12"/>
  <c r="H23" i="12"/>
  <c r="G23" i="12"/>
  <c r="F23" i="12"/>
  <c r="D23" i="12"/>
  <c r="C23" i="12"/>
  <c r="B23" i="12"/>
  <c r="O18" i="12"/>
  <c r="N18" i="12"/>
  <c r="L18" i="12"/>
  <c r="K18" i="12"/>
  <c r="J18" i="12"/>
  <c r="H18" i="12"/>
  <c r="G18" i="12"/>
  <c r="F18" i="12"/>
  <c r="D18" i="12"/>
  <c r="C18" i="12"/>
  <c r="B18" i="12"/>
  <c r="I42" i="11"/>
  <c r="H42" i="11"/>
  <c r="G42" i="11"/>
  <c r="I38" i="11"/>
  <c r="H38" i="11"/>
  <c r="G38" i="11"/>
  <c r="F38" i="11"/>
  <c r="E38" i="11"/>
  <c r="D38" i="11"/>
  <c r="C38" i="11"/>
  <c r="B38" i="11"/>
  <c r="H36" i="11"/>
  <c r="D36" i="11"/>
  <c r="C36" i="11"/>
  <c r="I23" i="11"/>
  <c r="H23" i="11"/>
  <c r="G23" i="11"/>
  <c r="F23" i="11"/>
  <c r="E23" i="11"/>
  <c r="D23" i="11"/>
  <c r="C23" i="11"/>
  <c r="B23" i="11"/>
  <c r="I18" i="11"/>
  <c r="H18" i="11"/>
  <c r="G18" i="11"/>
  <c r="F18" i="11"/>
  <c r="E18" i="11"/>
  <c r="D18" i="11"/>
  <c r="C18" i="11"/>
  <c r="B18" i="11"/>
  <c r="H17" i="11"/>
  <c r="I17" i="12" s="1"/>
  <c r="G17" i="11"/>
  <c r="E17" i="12" s="1"/>
  <c r="F17" i="11"/>
  <c r="E17" i="11"/>
  <c r="D17" i="11"/>
  <c r="C17" i="11"/>
  <c r="B17" i="11"/>
  <c r="E15" i="11"/>
  <c r="D15" i="11"/>
  <c r="O33" i="40" l="1"/>
  <c r="O44" i="40" s="1"/>
  <c r="S47" i="37"/>
  <c r="U30" i="12"/>
  <c r="U99" i="12"/>
  <c r="T101" i="13"/>
  <c r="T37" i="13"/>
  <c r="T43" i="13" s="1"/>
  <c r="T45" i="13" s="1"/>
  <c r="T47" i="13" s="1"/>
  <c r="T85" i="13"/>
  <c r="T102" i="13"/>
  <c r="T103" i="13"/>
  <c r="T83" i="13"/>
  <c r="U59" i="37"/>
  <c r="U31" i="37"/>
  <c r="U26" i="13"/>
  <c r="U79" i="13"/>
  <c r="U75" i="13"/>
  <c r="S73" i="37"/>
  <c r="N24" i="40"/>
  <c r="N34" i="40" s="1"/>
  <c r="H24" i="40"/>
  <c r="E23" i="12"/>
  <c r="I49" i="40"/>
  <c r="F13" i="30"/>
  <c r="K13" i="30"/>
  <c r="K35" i="30" s="1"/>
  <c r="E35" i="30"/>
  <c r="D33" i="40"/>
  <c r="D44" i="40" s="1"/>
  <c r="G13" i="30"/>
  <c r="G35" i="30" s="1"/>
  <c r="S88" i="13"/>
  <c r="E18" i="12"/>
  <c r="J24" i="40"/>
  <c r="J34" i="40" s="1"/>
  <c r="O24" i="40"/>
  <c r="O34" i="40" s="1"/>
  <c r="F33" i="40"/>
  <c r="F44" i="40" s="1"/>
  <c r="I18" i="12"/>
  <c r="B24" i="40"/>
  <c r="L24" i="40"/>
  <c r="M13" i="40"/>
  <c r="I43" i="40"/>
  <c r="M43" i="40"/>
  <c r="E43" i="40"/>
  <c r="M49" i="40"/>
  <c r="N13" i="30"/>
  <c r="N35" i="30" s="1"/>
  <c r="I35" i="30"/>
  <c r="I23" i="12"/>
  <c r="E13" i="40"/>
  <c r="M33" i="40"/>
  <c r="D23" i="40"/>
  <c r="D24" i="40" s="1"/>
  <c r="D34" i="40" s="1"/>
  <c r="B33" i="40"/>
  <c r="B44" i="40" s="1"/>
  <c r="C33" i="40"/>
  <c r="C44" i="40" s="1"/>
  <c r="O13" i="30"/>
  <c r="O35" i="30" s="1"/>
  <c r="M35" i="30"/>
  <c r="E33" i="40"/>
  <c r="G33" i="40"/>
  <c r="G44" i="40" s="1"/>
  <c r="C23" i="40"/>
  <c r="C24" i="40" s="1"/>
  <c r="M23" i="40"/>
  <c r="I13" i="40"/>
  <c r="E23" i="40"/>
  <c r="I23" i="40"/>
  <c r="I33" i="40"/>
  <c r="E49" i="40"/>
  <c r="D13" i="30"/>
  <c r="D35" i="30" s="1"/>
  <c r="J13" i="30"/>
  <c r="J35" i="30" s="1"/>
  <c r="L13" i="30"/>
  <c r="L35" i="30" s="1"/>
  <c r="F35" i="30"/>
  <c r="H13" i="30"/>
  <c r="H35" i="30" s="1"/>
  <c r="G23" i="40"/>
  <c r="G24" i="40" s="1"/>
  <c r="B13" i="30"/>
  <c r="B35" i="30" s="1"/>
  <c r="C13" i="30"/>
  <c r="C35" i="30" s="1"/>
  <c r="F24" i="40"/>
  <c r="F34" i="40" s="1"/>
  <c r="K24" i="40"/>
  <c r="K34" i="40" s="1"/>
  <c r="H34" i="40"/>
  <c r="L32" i="40"/>
  <c r="L33" i="40" s="1"/>
  <c r="U82" i="13" l="1"/>
  <c r="U43" i="37"/>
  <c r="U37" i="37"/>
  <c r="U46" i="37"/>
  <c r="U42" i="37"/>
  <c r="U36" i="37"/>
  <c r="U71" i="37"/>
  <c r="U33" i="37"/>
  <c r="U40" i="37"/>
  <c r="U45" i="37"/>
  <c r="U38" i="37"/>
  <c r="U39" i="37"/>
  <c r="U44" i="37"/>
  <c r="T88" i="13"/>
  <c r="U28" i="13"/>
  <c r="U98" i="13"/>
  <c r="U81" i="13"/>
  <c r="U41" i="37"/>
  <c r="U37" i="12"/>
  <c r="U43" i="12" s="1"/>
  <c r="U45" i="12" s="1"/>
  <c r="U47" i="12" s="1"/>
  <c r="U101" i="12"/>
  <c r="U85" i="12"/>
  <c r="U83" i="12"/>
  <c r="U103" i="12"/>
  <c r="U102" i="12"/>
  <c r="I44" i="40"/>
  <c r="E24" i="40"/>
  <c r="E34" i="40" s="1"/>
  <c r="E44" i="40"/>
  <c r="M44" i="40"/>
  <c r="C34" i="40"/>
  <c r="M24" i="40"/>
  <c r="M34" i="40" s="1"/>
  <c r="G34" i="40"/>
  <c r="B34" i="40"/>
  <c r="I24" i="40"/>
  <c r="I34" i="40" s="1"/>
  <c r="L44" i="40"/>
  <c r="L34" i="40"/>
  <c r="U73" i="37" l="1"/>
  <c r="U47" i="37"/>
  <c r="U88" i="12"/>
  <c r="U30" i="13"/>
  <c r="U99" i="13"/>
  <c r="H7" i="27"/>
  <c r="I7" i="27"/>
  <c r="J7" i="27"/>
  <c r="M7" i="27"/>
  <c r="I7" i="2"/>
  <c r="J7" i="2"/>
  <c r="J8" i="4" l="1"/>
  <c r="J10" i="4"/>
  <c r="J12" i="4"/>
  <c r="J15" i="4"/>
  <c r="J17" i="4"/>
  <c r="J19" i="4"/>
  <c r="J21" i="4"/>
  <c r="J25" i="4"/>
  <c r="K37" i="27" s="1"/>
  <c r="K38" i="27" s="1"/>
  <c r="J27" i="4"/>
  <c r="J29" i="4"/>
  <c r="J31" i="4"/>
  <c r="J35" i="4"/>
  <c r="J37" i="4"/>
  <c r="J39" i="4"/>
  <c r="J41" i="4"/>
  <c r="J45" i="4"/>
  <c r="J9" i="4"/>
  <c r="J11" i="4"/>
  <c r="J14" i="4"/>
  <c r="J18" i="4"/>
  <c r="J20" i="4"/>
  <c r="J22" i="4"/>
  <c r="J26" i="4"/>
  <c r="J30" i="4"/>
  <c r="J32" i="4"/>
  <c r="J36" i="4"/>
  <c r="J38" i="4"/>
  <c r="J40" i="4"/>
  <c r="J42" i="4"/>
  <c r="J46" i="4"/>
  <c r="J16" i="4"/>
  <c r="J28" i="4"/>
  <c r="U101" i="13"/>
  <c r="U37" i="13"/>
  <c r="U43" i="13" s="1"/>
  <c r="U45" i="13" s="1"/>
  <c r="U47" i="13" s="1"/>
  <c r="U85" i="13"/>
  <c r="U102" i="13"/>
  <c r="U103" i="13"/>
  <c r="U83" i="13"/>
  <c r="Q65" i="40"/>
  <c r="Q64" i="40"/>
  <c r="Q63" i="40"/>
  <c r="Q62" i="40"/>
  <c r="Q61" i="40"/>
  <c r="Q60" i="40"/>
  <c r="Q59" i="40"/>
  <c r="Q56" i="40"/>
  <c r="Q55" i="40"/>
  <c r="Q54" i="40"/>
  <c r="Q53" i="40"/>
  <c r="Q52" i="40"/>
  <c r="Q51" i="40"/>
  <c r="Q50" i="40"/>
  <c r="Q48" i="40"/>
  <c r="Q47" i="40"/>
  <c r="Q46" i="40"/>
  <c r="Q45" i="40"/>
  <c r="Q42" i="40"/>
  <c r="Q41" i="40"/>
  <c r="Q40" i="40"/>
  <c r="Q39" i="40"/>
  <c r="Q38" i="40"/>
  <c r="Q37" i="40"/>
  <c r="Q36" i="40"/>
  <c r="Q35" i="40"/>
  <c r="Q32" i="40"/>
  <c r="Q31" i="40"/>
  <c r="Q30" i="40"/>
  <c r="Q29" i="40"/>
  <c r="Q28" i="40"/>
  <c r="Q27" i="40"/>
  <c r="Q26" i="40"/>
  <c r="Q25" i="40"/>
  <c r="Q22" i="40"/>
  <c r="Q21" i="40"/>
  <c r="Q20" i="40"/>
  <c r="Q19" i="40"/>
  <c r="Q18" i="40"/>
  <c r="Q17" i="40"/>
  <c r="Q16" i="40"/>
  <c r="Q15" i="40"/>
  <c r="Q14" i="40"/>
  <c r="Q12" i="40"/>
  <c r="Q11" i="40"/>
  <c r="Q10" i="40"/>
  <c r="Q9" i="40"/>
  <c r="Q8" i="40"/>
  <c r="C90" i="12"/>
  <c r="D90" i="12"/>
  <c r="E90" i="12"/>
  <c r="F90" i="12"/>
  <c r="G90" i="12"/>
  <c r="H90" i="12"/>
  <c r="I90" i="12"/>
  <c r="J90" i="12"/>
  <c r="K90" i="12"/>
  <c r="L90" i="12"/>
  <c r="M90" i="12"/>
  <c r="N90" i="12"/>
  <c r="O90" i="12"/>
  <c r="P90" i="12"/>
  <c r="Q90" i="12"/>
  <c r="R90" i="12"/>
  <c r="C91" i="12"/>
  <c r="D91" i="12"/>
  <c r="E91" i="12"/>
  <c r="F91" i="12"/>
  <c r="G91" i="12"/>
  <c r="H91" i="12"/>
  <c r="I91" i="12"/>
  <c r="J91" i="12"/>
  <c r="K91" i="12"/>
  <c r="L91" i="12"/>
  <c r="M91" i="12"/>
  <c r="N91" i="12"/>
  <c r="O91" i="12"/>
  <c r="P91" i="12"/>
  <c r="Q91" i="12"/>
  <c r="R91" i="12"/>
  <c r="C92" i="12"/>
  <c r="D92" i="12"/>
  <c r="E92" i="12"/>
  <c r="F92" i="12"/>
  <c r="G92" i="12"/>
  <c r="H92" i="12"/>
  <c r="I92" i="12"/>
  <c r="J92" i="12"/>
  <c r="K92" i="12"/>
  <c r="L92" i="12"/>
  <c r="M92" i="12"/>
  <c r="N92" i="12"/>
  <c r="O92" i="12"/>
  <c r="P92" i="12"/>
  <c r="P95" i="12" s="1"/>
  <c r="Q92" i="12"/>
  <c r="C93" i="12"/>
  <c r="D93" i="12"/>
  <c r="E93" i="12"/>
  <c r="E95" i="12" s="1"/>
  <c r="F93" i="12"/>
  <c r="G93" i="12"/>
  <c r="H93" i="12"/>
  <c r="I93" i="12"/>
  <c r="J93" i="12"/>
  <c r="K93" i="12"/>
  <c r="L93" i="12"/>
  <c r="M93" i="12"/>
  <c r="N93" i="12"/>
  <c r="O93" i="12"/>
  <c r="P93" i="12"/>
  <c r="Q93" i="12"/>
  <c r="R93" i="12"/>
  <c r="C94" i="12"/>
  <c r="D94" i="12"/>
  <c r="E94" i="12"/>
  <c r="F94" i="12"/>
  <c r="G94" i="12"/>
  <c r="H94" i="12"/>
  <c r="I94" i="12"/>
  <c r="J94" i="12"/>
  <c r="K94" i="12"/>
  <c r="L94" i="12"/>
  <c r="M94" i="12"/>
  <c r="N94" i="12"/>
  <c r="O94" i="12"/>
  <c r="P94" i="12"/>
  <c r="Q94" i="12"/>
  <c r="R94" i="12"/>
  <c r="E67" i="12"/>
  <c r="F67" i="12"/>
  <c r="G67" i="12"/>
  <c r="H67" i="12"/>
  <c r="I67" i="12"/>
  <c r="J67" i="12"/>
  <c r="L67" i="12"/>
  <c r="M67" i="12"/>
  <c r="N67" i="12"/>
  <c r="O67" i="12"/>
  <c r="S68" i="12" s="1"/>
  <c r="P67" i="12"/>
  <c r="T68" i="12" s="1"/>
  <c r="Q67" i="12"/>
  <c r="U68" i="12" s="1"/>
  <c r="R67" i="12"/>
  <c r="E71" i="12"/>
  <c r="F71" i="12"/>
  <c r="G71" i="12"/>
  <c r="H71" i="12"/>
  <c r="I71" i="12"/>
  <c r="J71" i="12"/>
  <c r="L71" i="12"/>
  <c r="M71" i="12"/>
  <c r="N71" i="12"/>
  <c r="O71" i="12"/>
  <c r="S72" i="12" s="1"/>
  <c r="P71" i="12"/>
  <c r="Q71" i="12"/>
  <c r="U72" i="12" s="1"/>
  <c r="R71" i="12"/>
  <c r="E50" i="12"/>
  <c r="F50" i="12"/>
  <c r="G50" i="12"/>
  <c r="H50" i="12"/>
  <c r="I50" i="12"/>
  <c r="J50" i="12"/>
  <c r="K50" i="12"/>
  <c r="L50" i="12"/>
  <c r="M50" i="12"/>
  <c r="N50" i="12"/>
  <c r="N51" i="12" s="1"/>
  <c r="O50" i="12"/>
  <c r="P50" i="12"/>
  <c r="T51" i="12" s="1"/>
  <c r="Q50" i="12"/>
  <c r="U51" i="12" s="1"/>
  <c r="R50" i="12"/>
  <c r="E52" i="12"/>
  <c r="E77" i="12" s="1"/>
  <c r="E78" i="12" s="1"/>
  <c r="F52" i="12"/>
  <c r="F54" i="12" s="1"/>
  <c r="G52" i="12"/>
  <c r="G69" i="12" s="1"/>
  <c r="H52" i="12"/>
  <c r="H77" i="12" s="1"/>
  <c r="I52" i="12"/>
  <c r="I77" i="12" s="1"/>
  <c r="J52" i="12"/>
  <c r="J54" i="12" s="1"/>
  <c r="K52" i="12"/>
  <c r="K69" i="12" s="1"/>
  <c r="L52" i="12"/>
  <c r="L77" i="12" s="1"/>
  <c r="M52" i="12"/>
  <c r="M77" i="12" s="1"/>
  <c r="N52" i="12"/>
  <c r="N54" i="12" s="1"/>
  <c r="O52" i="12"/>
  <c r="P52" i="12"/>
  <c r="Q52" i="12"/>
  <c r="R52" i="12"/>
  <c r="E55" i="12"/>
  <c r="F55" i="12"/>
  <c r="G55" i="12"/>
  <c r="H55" i="12"/>
  <c r="I55" i="12"/>
  <c r="J55" i="12"/>
  <c r="K55" i="12"/>
  <c r="L55" i="12"/>
  <c r="M55" i="12"/>
  <c r="N55" i="12"/>
  <c r="O55" i="12"/>
  <c r="P55" i="12"/>
  <c r="Q55" i="12"/>
  <c r="R55" i="12"/>
  <c r="C94" i="11"/>
  <c r="D94" i="11"/>
  <c r="E94" i="11"/>
  <c r="F94" i="11"/>
  <c r="G94" i="11"/>
  <c r="H94" i="11"/>
  <c r="I94" i="11"/>
  <c r="J94" i="11"/>
  <c r="B94" i="11"/>
  <c r="C9" i="25"/>
  <c r="D9" i="25"/>
  <c r="D49" i="25" s="1"/>
  <c r="E9" i="25"/>
  <c r="E49" i="25" s="1"/>
  <c r="F9" i="25"/>
  <c r="G9" i="25"/>
  <c r="G49" i="25" s="1"/>
  <c r="H9" i="25"/>
  <c r="H49" i="25" s="1"/>
  <c r="C11" i="25"/>
  <c r="C51" i="25" s="1"/>
  <c r="D11" i="25"/>
  <c r="E11" i="25"/>
  <c r="F11" i="25"/>
  <c r="F51" i="25" s="1"/>
  <c r="G11" i="25"/>
  <c r="G51" i="25" s="1"/>
  <c r="H11" i="25"/>
  <c r="C13" i="25"/>
  <c r="C53" i="25" s="1"/>
  <c r="D13" i="25"/>
  <c r="D53" i="25" s="1"/>
  <c r="E13" i="25"/>
  <c r="E53" i="25" s="1"/>
  <c r="F13" i="25"/>
  <c r="G13" i="25"/>
  <c r="G53" i="25" s="1"/>
  <c r="H13" i="25"/>
  <c r="H53" i="25" s="1"/>
  <c r="C15" i="25"/>
  <c r="C55" i="25" s="1"/>
  <c r="D15" i="25"/>
  <c r="E15" i="25"/>
  <c r="E55" i="25" s="1"/>
  <c r="F15" i="25"/>
  <c r="F55" i="25" s="1"/>
  <c r="G15" i="25"/>
  <c r="G55" i="25" s="1"/>
  <c r="H15" i="25"/>
  <c r="C17" i="25"/>
  <c r="C57" i="25" s="1"/>
  <c r="D17" i="25"/>
  <c r="D57" i="25" s="1"/>
  <c r="E17" i="25"/>
  <c r="E57" i="25" s="1"/>
  <c r="F17" i="25"/>
  <c r="G17" i="25"/>
  <c r="G57" i="25" s="1"/>
  <c r="H17" i="25"/>
  <c r="H57" i="25" s="1"/>
  <c r="C21" i="25"/>
  <c r="C61" i="25" s="1"/>
  <c r="D21" i="25"/>
  <c r="E21" i="25"/>
  <c r="E61" i="25" s="1"/>
  <c r="F21" i="25"/>
  <c r="G21" i="25"/>
  <c r="H21" i="25"/>
  <c r="H61" i="25" s="1"/>
  <c r="I61" i="25"/>
  <c r="C23" i="25"/>
  <c r="C63" i="25" s="1"/>
  <c r="D23" i="25"/>
  <c r="E23" i="25"/>
  <c r="E63" i="25" s="1"/>
  <c r="F23" i="25"/>
  <c r="F63" i="25" s="1"/>
  <c r="G23" i="25"/>
  <c r="G63" i="25" s="1"/>
  <c r="H23" i="25"/>
  <c r="C25" i="25"/>
  <c r="C65" i="25" s="1"/>
  <c r="D25" i="25"/>
  <c r="D65" i="25" s="1"/>
  <c r="E25" i="25"/>
  <c r="E65" i="25" s="1"/>
  <c r="F25" i="25"/>
  <c r="G25" i="25"/>
  <c r="G65" i="25" s="1"/>
  <c r="H25" i="25"/>
  <c r="H65" i="25" s="1"/>
  <c r="I65" i="25"/>
  <c r="C27" i="25"/>
  <c r="C67" i="25" s="1"/>
  <c r="D27" i="25"/>
  <c r="E27" i="25"/>
  <c r="F27" i="25"/>
  <c r="F67" i="25" s="1"/>
  <c r="G27" i="25"/>
  <c r="G67" i="25" s="1"/>
  <c r="H27" i="25"/>
  <c r="I67" i="25"/>
  <c r="C29" i="25"/>
  <c r="C69" i="25" s="1"/>
  <c r="D29" i="25"/>
  <c r="E29" i="25"/>
  <c r="E69" i="25" s="1"/>
  <c r="F29" i="25"/>
  <c r="G29" i="25"/>
  <c r="G69" i="25" s="1"/>
  <c r="H29" i="25"/>
  <c r="H69" i="25" s="1"/>
  <c r="I69" i="25"/>
  <c r="C49" i="25"/>
  <c r="I49" i="25"/>
  <c r="E51" i="25"/>
  <c r="I51" i="25"/>
  <c r="I53" i="25"/>
  <c r="I55" i="25"/>
  <c r="I57" i="25"/>
  <c r="G61" i="25"/>
  <c r="I63" i="25"/>
  <c r="E67" i="25"/>
  <c r="C43" i="35"/>
  <c r="D43" i="35"/>
  <c r="E43" i="35"/>
  <c r="F43" i="35"/>
  <c r="G43" i="35"/>
  <c r="H43" i="35"/>
  <c r="I43" i="35"/>
  <c r="J43" i="35"/>
  <c r="K43" i="35"/>
  <c r="L43" i="35"/>
  <c r="M43" i="35"/>
  <c r="N43" i="35"/>
  <c r="O43" i="35"/>
  <c r="P43" i="35"/>
  <c r="Q43" i="35"/>
  <c r="C30" i="35"/>
  <c r="D30" i="35"/>
  <c r="E30" i="35"/>
  <c r="F30" i="35"/>
  <c r="G30" i="35"/>
  <c r="H30" i="35"/>
  <c r="I30" i="35"/>
  <c r="J30" i="35"/>
  <c r="K30" i="35"/>
  <c r="L30" i="35"/>
  <c r="M30" i="35"/>
  <c r="N30" i="35"/>
  <c r="O30" i="35"/>
  <c r="P30" i="35"/>
  <c r="Q30" i="35"/>
  <c r="C11" i="35"/>
  <c r="D11" i="35"/>
  <c r="E11" i="35"/>
  <c r="F11" i="35"/>
  <c r="B86" i="34"/>
  <c r="C9" i="34"/>
  <c r="C69" i="34" s="1"/>
  <c r="D9" i="34"/>
  <c r="D69" i="34" s="1"/>
  <c r="E9" i="34"/>
  <c r="E69" i="34" s="1"/>
  <c r="F9" i="34"/>
  <c r="F69" i="34" s="1"/>
  <c r="G9" i="34"/>
  <c r="G69" i="34" s="1"/>
  <c r="H9" i="34"/>
  <c r="H69" i="34" s="1"/>
  <c r="I9" i="34"/>
  <c r="I69" i="34" s="1"/>
  <c r="J9" i="34"/>
  <c r="J69" i="34" s="1"/>
  <c r="K9" i="34"/>
  <c r="K69" i="34" s="1"/>
  <c r="L9" i="34"/>
  <c r="L69" i="34" s="1"/>
  <c r="M9" i="34"/>
  <c r="M69" i="34" s="1"/>
  <c r="N9" i="34"/>
  <c r="N69" i="34" s="1"/>
  <c r="O9" i="34"/>
  <c r="O69" i="34" s="1"/>
  <c r="P9" i="34"/>
  <c r="P69" i="34" s="1"/>
  <c r="Q9" i="34"/>
  <c r="Q69" i="34" s="1"/>
  <c r="C11" i="34"/>
  <c r="C31" i="34" s="1"/>
  <c r="D11" i="34"/>
  <c r="D31" i="34" s="1"/>
  <c r="E11" i="34"/>
  <c r="E44" i="34" s="1"/>
  <c r="F11" i="34"/>
  <c r="F44" i="34" s="1"/>
  <c r="G11" i="34"/>
  <c r="G31" i="34" s="1"/>
  <c r="H11" i="34"/>
  <c r="H31" i="34" s="1"/>
  <c r="I11" i="34"/>
  <c r="I44" i="34" s="1"/>
  <c r="J11" i="34"/>
  <c r="J44" i="34" s="1"/>
  <c r="K11" i="34"/>
  <c r="K31" i="34" s="1"/>
  <c r="L11" i="34"/>
  <c r="L31" i="34" s="1"/>
  <c r="M11" i="34"/>
  <c r="M44" i="34" s="1"/>
  <c r="N11" i="34"/>
  <c r="N44" i="34" s="1"/>
  <c r="O11" i="34"/>
  <c r="O31" i="34" s="1"/>
  <c r="P11" i="34"/>
  <c r="P31" i="34" s="1"/>
  <c r="Q11" i="34"/>
  <c r="Q44" i="34" s="1"/>
  <c r="C13" i="34"/>
  <c r="C71" i="34" s="1"/>
  <c r="D13" i="34"/>
  <c r="D46" i="34" s="1"/>
  <c r="E13" i="34"/>
  <c r="E71" i="34" s="1"/>
  <c r="F13" i="34"/>
  <c r="F71" i="34" s="1"/>
  <c r="G13" i="34"/>
  <c r="G71" i="34" s="1"/>
  <c r="H13" i="34"/>
  <c r="H46" i="34" s="1"/>
  <c r="I13" i="34"/>
  <c r="I71" i="34" s="1"/>
  <c r="J13" i="34"/>
  <c r="J71" i="34" s="1"/>
  <c r="K13" i="34"/>
  <c r="K71" i="34" s="1"/>
  <c r="L13" i="34"/>
  <c r="L46" i="34" s="1"/>
  <c r="M13" i="34"/>
  <c r="M71" i="34" s="1"/>
  <c r="N13" i="34"/>
  <c r="N71" i="34" s="1"/>
  <c r="O13" i="34"/>
  <c r="O71" i="34" s="1"/>
  <c r="P13" i="34"/>
  <c r="P46" i="34" s="1"/>
  <c r="Q13" i="34"/>
  <c r="Q71" i="34" s="1"/>
  <c r="C15" i="34"/>
  <c r="C73" i="34" s="1"/>
  <c r="D15" i="34"/>
  <c r="D73" i="34" s="1"/>
  <c r="E15" i="34"/>
  <c r="E48" i="34" s="1"/>
  <c r="F15" i="34"/>
  <c r="F73" i="34" s="1"/>
  <c r="G15" i="34"/>
  <c r="G73" i="34" s="1"/>
  <c r="H15" i="34"/>
  <c r="H62" i="34" s="1"/>
  <c r="I15" i="34"/>
  <c r="I48" i="34" s="1"/>
  <c r="J15" i="34"/>
  <c r="J35" i="34" s="1"/>
  <c r="K15" i="34"/>
  <c r="K73" i="34" s="1"/>
  <c r="L15" i="34"/>
  <c r="L62" i="34" s="1"/>
  <c r="M15" i="34"/>
  <c r="M73" i="34" s="1"/>
  <c r="N15" i="34"/>
  <c r="N35" i="34" s="1"/>
  <c r="O15" i="34"/>
  <c r="O73" i="34" s="1"/>
  <c r="P15" i="34"/>
  <c r="P62" i="34" s="1"/>
  <c r="Q15" i="34"/>
  <c r="Q73" i="34" s="1"/>
  <c r="C9" i="24"/>
  <c r="C69" i="24" s="1"/>
  <c r="D9" i="24"/>
  <c r="D69" i="24" s="1"/>
  <c r="E9" i="24"/>
  <c r="E69" i="24" s="1"/>
  <c r="F9" i="24"/>
  <c r="G9" i="24"/>
  <c r="G69" i="24" s="1"/>
  <c r="H9" i="24"/>
  <c r="H69" i="24" s="1"/>
  <c r="C11" i="24"/>
  <c r="C44" i="24" s="1"/>
  <c r="D11" i="24"/>
  <c r="E11" i="24"/>
  <c r="E44" i="24" s="1"/>
  <c r="F11" i="24"/>
  <c r="F44" i="24" s="1"/>
  <c r="G11" i="24"/>
  <c r="G44" i="24" s="1"/>
  <c r="H11" i="24"/>
  <c r="C13" i="24"/>
  <c r="C60" i="24" s="1"/>
  <c r="D13" i="24"/>
  <c r="D60" i="24" s="1"/>
  <c r="E13" i="24"/>
  <c r="E71" i="24" s="1"/>
  <c r="F13" i="24"/>
  <c r="G13" i="24"/>
  <c r="G60" i="24" s="1"/>
  <c r="H13" i="24"/>
  <c r="C15" i="24"/>
  <c r="C73" i="24" s="1"/>
  <c r="D15" i="24"/>
  <c r="E15" i="24"/>
  <c r="E73" i="24" s="1"/>
  <c r="F15" i="24"/>
  <c r="F62" i="24" s="1"/>
  <c r="G15" i="24"/>
  <c r="G73" i="24" s="1"/>
  <c r="H15" i="24"/>
  <c r="W16" i="39"/>
  <c r="W52" i="39" s="1"/>
  <c r="V16" i="39"/>
  <c r="V58" i="39" s="1"/>
  <c r="U16" i="39"/>
  <c r="U54" i="39" s="1"/>
  <c r="T16" i="39"/>
  <c r="T52" i="39" s="1"/>
  <c r="S16" i="39"/>
  <c r="S58" i="39" s="1"/>
  <c r="R16" i="39"/>
  <c r="Q16" i="39"/>
  <c r="P16" i="39"/>
  <c r="O16" i="39"/>
  <c r="N16" i="39"/>
  <c r="M16" i="39"/>
  <c r="L16" i="39"/>
  <c r="K16" i="39"/>
  <c r="J16" i="39"/>
  <c r="I16" i="39"/>
  <c r="H16" i="39"/>
  <c r="G16" i="39"/>
  <c r="F16" i="39"/>
  <c r="E16" i="39"/>
  <c r="D16" i="39"/>
  <c r="C16" i="39"/>
  <c r="U15" i="39"/>
  <c r="V15" i="39"/>
  <c r="W15" i="39"/>
  <c r="U21" i="39"/>
  <c r="V21" i="39"/>
  <c r="W21" i="39"/>
  <c r="U23" i="39"/>
  <c r="V23" i="39"/>
  <c r="W23" i="39"/>
  <c r="U28" i="39"/>
  <c r="V28" i="39"/>
  <c r="W28" i="39"/>
  <c r="U32" i="39"/>
  <c r="V32" i="39"/>
  <c r="W32" i="39"/>
  <c r="U34" i="39"/>
  <c r="V34" i="39"/>
  <c r="W34" i="39"/>
  <c r="U35" i="39"/>
  <c r="V35" i="39"/>
  <c r="W35" i="39"/>
  <c r="U38" i="39"/>
  <c r="V38" i="39"/>
  <c r="W38" i="39"/>
  <c r="U40" i="39"/>
  <c r="V40" i="39"/>
  <c r="W40" i="39"/>
  <c r="U41" i="39"/>
  <c r="V41" i="39"/>
  <c r="W41" i="39"/>
  <c r="U44" i="39"/>
  <c r="V44" i="39"/>
  <c r="W44" i="39"/>
  <c r="U46" i="39"/>
  <c r="V46" i="39"/>
  <c r="W46" i="39"/>
  <c r="U47" i="39"/>
  <c r="V47" i="39"/>
  <c r="W47" i="39"/>
  <c r="U48" i="39"/>
  <c r="V48" i="39"/>
  <c r="W48" i="39"/>
  <c r="V50" i="39"/>
  <c r="U62" i="39"/>
  <c r="V62" i="39"/>
  <c r="W62" i="39"/>
  <c r="U64" i="39"/>
  <c r="V64" i="39"/>
  <c r="W64" i="39"/>
  <c r="U68" i="39"/>
  <c r="V68" i="39"/>
  <c r="W68" i="39"/>
  <c r="U71" i="39"/>
  <c r="V71" i="39"/>
  <c r="W71" i="39"/>
  <c r="U73" i="39"/>
  <c r="V73" i="39"/>
  <c r="W73" i="39"/>
  <c r="S15" i="39"/>
  <c r="T15" i="39"/>
  <c r="S21" i="39"/>
  <c r="T21" i="39"/>
  <c r="S23" i="39"/>
  <c r="T23" i="39"/>
  <c r="S28" i="39"/>
  <c r="T28" i="39"/>
  <c r="S32" i="39"/>
  <c r="T32" i="39"/>
  <c r="S34" i="39"/>
  <c r="T34" i="39"/>
  <c r="S35" i="39"/>
  <c r="T35" i="39"/>
  <c r="S38" i="39"/>
  <c r="T38" i="39"/>
  <c r="S40" i="39"/>
  <c r="T40" i="39"/>
  <c r="S41" i="39"/>
  <c r="T41" i="39"/>
  <c r="S44" i="39"/>
  <c r="T44" i="39"/>
  <c r="S46" i="39"/>
  <c r="T46" i="39"/>
  <c r="S47" i="39"/>
  <c r="T47" i="39"/>
  <c r="S48" i="39"/>
  <c r="T48" i="39"/>
  <c r="S50" i="39"/>
  <c r="S62" i="39"/>
  <c r="T62" i="39"/>
  <c r="S64" i="39"/>
  <c r="T64" i="39"/>
  <c r="S68" i="39"/>
  <c r="T68" i="39"/>
  <c r="S71" i="39"/>
  <c r="T71" i="39"/>
  <c r="S73" i="39"/>
  <c r="T73" i="39"/>
  <c r="C225" i="6"/>
  <c r="D225" i="6"/>
  <c r="E225" i="6"/>
  <c r="F225" i="6"/>
  <c r="G225" i="6"/>
  <c r="H225" i="6"/>
  <c r="I225" i="6"/>
  <c r="J225" i="6"/>
  <c r="C222" i="6"/>
  <c r="D222" i="6"/>
  <c r="E222" i="6"/>
  <c r="F222" i="6"/>
  <c r="G222" i="6"/>
  <c r="H222" i="6"/>
  <c r="I222" i="6"/>
  <c r="J222" i="6"/>
  <c r="M222" i="6"/>
  <c r="C218" i="6"/>
  <c r="D218" i="6"/>
  <c r="E218" i="6"/>
  <c r="F218" i="6"/>
  <c r="G218" i="6"/>
  <c r="H218" i="6"/>
  <c r="I218" i="6"/>
  <c r="J218" i="6"/>
  <c r="M218" i="6"/>
  <c r="C214" i="6"/>
  <c r="D214" i="6"/>
  <c r="E214" i="6"/>
  <c r="F214" i="6"/>
  <c r="G214" i="6"/>
  <c r="H214" i="6"/>
  <c r="I214" i="6"/>
  <c r="J214" i="6"/>
  <c r="M214" i="6"/>
  <c r="B214" i="6"/>
  <c r="C210" i="6"/>
  <c r="D210" i="6"/>
  <c r="E210" i="6"/>
  <c r="F210" i="6"/>
  <c r="G210" i="6"/>
  <c r="H210" i="6"/>
  <c r="I210" i="6"/>
  <c r="J210" i="6"/>
  <c r="M210" i="6"/>
  <c r="B210" i="6"/>
  <c r="C197" i="6"/>
  <c r="D197" i="6"/>
  <c r="E197" i="6"/>
  <c r="F197" i="6"/>
  <c r="G197" i="6"/>
  <c r="H197" i="6"/>
  <c r="I197" i="6"/>
  <c r="J197" i="6"/>
  <c r="K198" i="6" s="1"/>
  <c r="B197" i="6"/>
  <c r="E172" i="6"/>
  <c r="D158" i="6"/>
  <c r="E158" i="6"/>
  <c r="F158" i="6"/>
  <c r="G158" i="6"/>
  <c r="H158" i="6"/>
  <c r="I158" i="6"/>
  <c r="J158" i="6"/>
  <c r="D159" i="6"/>
  <c r="E159" i="6"/>
  <c r="F159" i="6"/>
  <c r="G159" i="6"/>
  <c r="H159" i="6"/>
  <c r="I159" i="6"/>
  <c r="J159" i="6"/>
  <c r="D160" i="6"/>
  <c r="E160" i="6"/>
  <c r="F160" i="6"/>
  <c r="G160" i="6"/>
  <c r="H160" i="6"/>
  <c r="I160" i="6"/>
  <c r="J160" i="6"/>
  <c r="D161" i="6"/>
  <c r="E161" i="6"/>
  <c r="F161" i="6"/>
  <c r="G161" i="6"/>
  <c r="H161" i="6"/>
  <c r="I161" i="6"/>
  <c r="J161" i="6"/>
  <c r="C161" i="6"/>
  <c r="C159" i="6"/>
  <c r="C158" i="6"/>
  <c r="C143" i="6"/>
  <c r="C116" i="6"/>
  <c r="D116" i="6"/>
  <c r="E116" i="6"/>
  <c r="F116" i="6"/>
  <c r="G116" i="6"/>
  <c r="H116" i="6"/>
  <c r="I116" i="6"/>
  <c r="J116" i="6"/>
  <c r="K123" i="6" s="1"/>
  <c r="B112" i="6"/>
  <c r="C66" i="6"/>
  <c r="D66" i="6"/>
  <c r="E66" i="6"/>
  <c r="F66" i="6"/>
  <c r="G66" i="6"/>
  <c r="H66" i="6"/>
  <c r="I66" i="6"/>
  <c r="J66" i="6"/>
  <c r="K67" i="6" s="1"/>
  <c r="C64" i="6"/>
  <c r="D64" i="6"/>
  <c r="E64" i="6"/>
  <c r="F64" i="6"/>
  <c r="G64" i="6"/>
  <c r="H64" i="6"/>
  <c r="I64" i="6"/>
  <c r="J64" i="6"/>
  <c r="K65" i="6" s="1"/>
  <c r="B64" i="6"/>
  <c r="J16" i="6"/>
  <c r="I16" i="6"/>
  <c r="I76" i="25" s="1"/>
  <c r="H16" i="6"/>
  <c r="G16" i="6"/>
  <c r="G76" i="25" s="1"/>
  <c r="F16" i="6"/>
  <c r="F108" i="6" s="1"/>
  <c r="E16" i="6"/>
  <c r="E76" i="25" s="1"/>
  <c r="D16" i="6"/>
  <c r="C16" i="6"/>
  <c r="B103" i="6"/>
  <c r="C93" i="6"/>
  <c r="D93" i="6"/>
  <c r="E93" i="6"/>
  <c r="F93" i="6"/>
  <c r="G93" i="6"/>
  <c r="H93" i="6"/>
  <c r="I93" i="6"/>
  <c r="J93" i="6"/>
  <c r="C94" i="6"/>
  <c r="D94" i="6"/>
  <c r="E94" i="6"/>
  <c r="F94" i="6"/>
  <c r="G94" i="6"/>
  <c r="H94" i="6"/>
  <c r="I94" i="6"/>
  <c r="J94" i="6"/>
  <c r="C95" i="6"/>
  <c r="D95" i="6"/>
  <c r="E95" i="6"/>
  <c r="F95" i="6"/>
  <c r="G95" i="6"/>
  <c r="H95" i="6"/>
  <c r="I95" i="6"/>
  <c r="J95" i="6"/>
  <c r="C80" i="6"/>
  <c r="D80" i="6"/>
  <c r="E80" i="6"/>
  <c r="F80" i="6"/>
  <c r="G80" i="6"/>
  <c r="H80" i="6"/>
  <c r="I80" i="6"/>
  <c r="J80" i="6"/>
  <c r="K81" i="6" s="1"/>
  <c r="W17" i="39" l="1"/>
  <c r="K112" i="6"/>
  <c r="K113" i="6" s="1"/>
  <c r="K125" i="6"/>
  <c r="K126" i="6" s="1"/>
  <c r="J33" i="4"/>
  <c r="J13" i="4"/>
  <c r="J108" i="6"/>
  <c r="K109" i="6" s="1"/>
  <c r="K17" i="6"/>
  <c r="J67" i="25"/>
  <c r="K68" i="25" s="1"/>
  <c r="J63" i="25"/>
  <c r="K64" i="25" s="1"/>
  <c r="J55" i="25"/>
  <c r="K56" i="25" s="1"/>
  <c r="J51" i="25"/>
  <c r="K52" i="25" s="1"/>
  <c r="Q77" i="12"/>
  <c r="U78" i="12" s="1"/>
  <c r="U53" i="12"/>
  <c r="U88" i="13"/>
  <c r="J43" i="4"/>
  <c r="J23" i="4"/>
  <c r="G54" i="12"/>
  <c r="I51" i="12"/>
  <c r="L51" i="12"/>
  <c r="R72" i="12"/>
  <c r="I72" i="12"/>
  <c r="M78" i="12"/>
  <c r="K51" i="12"/>
  <c r="Q72" i="12"/>
  <c r="R51" i="12"/>
  <c r="J51" i="12"/>
  <c r="C76" i="25"/>
  <c r="Q68" i="12"/>
  <c r="J72" i="12"/>
  <c r="P68" i="12"/>
  <c r="J68" i="12"/>
  <c r="R68" i="12"/>
  <c r="I68" i="12"/>
  <c r="K70" i="12"/>
  <c r="I78" i="12"/>
  <c r="P77" i="12"/>
  <c r="T53" i="12"/>
  <c r="L78" i="12"/>
  <c r="P72" i="12"/>
  <c r="T72" i="12"/>
  <c r="U17" i="39"/>
  <c r="U56" i="39"/>
  <c r="R54" i="12"/>
  <c r="O95" i="12"/>
  <c r="I95" i="12"/>
  <c r="S17" i="39"/>
  <c r="S56" i="39"/>
  <c r="S54" i="39"/>
  <c r="N72" i="12"/>
  <c r="M68" i="12"/>
  <c r="W54" i="39"/>
  <c r="S52" i="39"/>
  <c r="W50" i="39"/>
  <c r="W51" i="39" s="1"/>
  <c r="L72" i="12"/>
  <c r="D95" i="12"/>
  <c r="K95" i="12"/>
  <c r="G95" i="12"/>
  <c r="Q95" i="12"/>
  <c r="M95" i="12"/>
  <c r="L95" i="12"/>
  <c r="H95" i="12"/>
  <c r="C95" i="12"/>
  <c r="W58" i="39"/>
  <c r="V54" i="39"/>
  <c r="G17" i="34"/>
  <c r="G37" i="34" s="1"/>
  <c r="N95" i="12"/>
  <c r="J95" i="12"/>
  <c r="F95" i="12"/>
  <c r="W56" i="39"/>
  <c r="W57" i="39" s="1"/>
  <c r="C17" i="34"/>
  <c r="C37" i="34" s="1"/>
  <c r="O51" i="12"/>
  <c r="S51" i="12"/>
  <c r="O69" i="12"/>
  <c r="S53" i="12"/>
  <c r="T56" i="39"/>
  <c r="V56" i="39"/>
  <c r="V17" i="39"/>
  <c r="P54" i="12"/>
  <c r="P53" i="12"/>
  <c r="N68" i="12"/>
  <c r="V52" i="39"/>
  <c r="E10" i="24"/>
  <c r="K54" i="12"/>
  <c r="H54" i="12"/>
  <c r="R92" i="12"/>
  <c r="R95" i="12" s="1"/>
  <c r="D76" i="25"/>
  <c r="H76" i="25"/>
  <c r="I77" i="25" s="1"/>
  <c r="M224" i="6"/>
  <c r="G224" i="6"/>
  <c r="C224" i="6"/>
  <c r="U58" i="39"/>
  <c r="U50" i="39"/>
  <c r="H14" i="24"/>
  <c r="D61" i="24"/>
  <c r="H12" i="24"/>
  <c r="D12" i="24"/>
  <c r="D10" i="24"/>
  <c r="H70" i="25"/>
  <c r="F12" i="25"/>
  <c r="J224" i="6"/>
  <c r="K226" i="6" s="1"/>
  <c r="F224" i="6"/>
  <c r="U52" i="39"/>
  <c r="N17" i="34"/>
  <c r="N37" i="34" s="1"/>
  <c r="F14" i="24"/>
  <c r="E70" i="24"/>
  <c r="H30" i="25"/>
  <c r="D30" i="25"/>
  <c r="H14" i="25"/>
  <c r="D14" i="25"/>
  <c r="G16" i="24"/>
  <c r="O54" i="12"/>
  <c r="D224" i="6"/>
  <c r="E14" i="24"/>
  <c r="Q51" i="12"/>
  <c r="L68" i="12"/>
  <c r="H22" i="25"/>
  <c r="D22" i="25"/>
  <c r="Q53" i="12"/>
  <c r="M51" i="12"/>
  <c r="I58" i="6"/>
  <c r="G12" i="24"/>
  <c r="F10" i="24"/>
  <c r="O17" i="34"/>
  <c r="O37" i="34" s="1"/>
  <c r="H224" i="6"/>
  <c r="P51" i="12"/>
  <c r="K17" i="34"/>
  <c r="K37" i="34" s="1"/>
  <c r="M72" i="12"/>
  <c r="F17" i="34"/>
  <c r="F37" i="34" s="1"/>
  <c r="D69" i="25"/>
  <c r="E70" i="25" s="1"/>
  <c r="F28" i="25"/>
  <c r="D61" i="25"/>
  <c r="E62" i="25" s="1"/>
  <c r="H26" i="25"/>
  <c r="D26" i="25"/>
  <c r="G24" i="25"/>
  <c r="H18" i="25"/>
  <c r="D18" i="25"/>
  <c r="G16" i="25"/>
  <c r="G12" i="25"/>
  <c r="H10" i="25"/>
  <c r="D10" i="25"/>
  <c r="H16" i="24"/>
  <c r="D16" i="24"/>
  <c r="D14" i="24"/>
  <c r="H70" i="24"/>
  <c r="D70" i="24"/>
  <c r="Q78" i="12"/>
  <c r="I53" i="12"/>
  <c r="E54" i="12"/>
  <c r="L54" i="12"/>
  <c r="F45" i="24"/>
  <c r="I70" i="25"/>
  <c r="F58" i="6"/>
  <c r="J56" i="6"/>
  <c r="K57" i="6" s="1"/>
  <c r="J58" i="6"/>
  <c r="K59" i="6" s="1"/>
  <c r="I56" i="6"/>
  <c r="C58" i="6"/>
  <c r="C50" i="6"/>
  <c r="F56" i="6"/>
  <c r="J52" i="6"/>
  <c r="K53" i="6" s="1"/>
  <c r="F52" i="6"/>
  <c r="G50" i="6"/>
  <c r="G108" i="6"/>
  <c r="C108" i="6"/>
  <c r="G45" i="24"/>
  <c r="E58" i="6"/>
  <c r="E56" i="6"/>
  <c r="I52" i="6"/>
  <c r="E52" i="6"/>
  <c r="J50" i="6"/>
  <c r="K51" i="6" s="1"/>
  <c r="F50" i="6"/>
  <c r="C56" i="6"/>
  <c r="C52" i="6"/>
  <c r="H58" i="6"/>
  <c r="D58" i="6"/>
  <c r="H56" i="6"/>
  <c r="D56" i="6"/>
  <c r="H52" i="6"/>
  <c r="D52" i="6"/>
  <c r="I50" i="6"/>
  <c r="E50" i="6"/>
  <c r="I108" i="6"/>
  <c r="E108" i="6"/>
  <c r="I224" i="6"/>
  <c r="E224" i="6"/>
  <c r="G58" i="6"/>
  <c r="G56" i="6"/>
  <c r="G52" i="6"/>
  <c r="H50" i="6"/>
  <c r="D50" i="6"/>
  <c r="H108" i="6"/>
  <c r="D108" i="6"/>
  <c r="W59" i="39"/>
  <c r="E35" i="24"/>
  <c r="E33" i="24"/>
  <c r="E31" i="24"/>
  <c r="E29" i="24"/>
  <c r="E48" i="24"/>
  <c r="E46" i="24"/>
  <c r="E42" i="24"/>
  <c r="E55" i="24"/>
  <c r="E62" i="24"/>
  <c r="F63" i="24" s="1"/>
  <c r="E60" i="24"/>
  <c r="E61" i="24" s="1"/>
  <c r="E58" i="24"/>
  <c r="F73" i="24"/>
  <c r="F74" i="24" s="1"/>
  <c r="H71" i="24"/>
  <c r="D71" i="24"/>
  <c r="E72" i="24" s="1"/>
  <c r="F69" i="24"/>
  <c r="F70" i="24" s="1"/>
  <c r="W69" i="39"/>
  <c r="H35" i="24"/>
  <c r="D35" i="24"/>
  <c r="H33" i="24"/>
  <c r="D33" i="24"/>
  <c r="H31" i="24"/>
  <c r="D31" i="24"/>
  <c r="H29" i="24"/>
  <c r="D29" i="24"/>
  <c r="H48" i="24"/>
  <c r="D48" i="24"/>
  <c r="H46" i="24"/>
  <c r="D46" i="24"/>
  <c r="H44" i="24"/>
  <c r="H45" i="24" s="1"/>
  <c r="D44" i="24"/>
  <c r="D45" i="24" s="1"/>
  <c r="H42" i="24"/>
  <c r="D42" i="24"/>
  <c r="H55" i="24"/>
  <c r="D55" i="24"/>
  <c r="H62" i="24"/>
  <c r="D62" i="24"/>
  <c r="H60" i="24"/>
  <c r="H61" i="24" s="1"/>
  <c r="H58" i="24"/>
  <c r="D58" i="24"/>
  <c r="G71" i="24"/>
  <c r="C71" i="24"/>
  <c r="W65" i="39"/>
  <c r="AA66" i="39" s="1"/>
  <c r="W55" i="39"/>
  <c r="T17" i="39"/>
  <c r="F16" i="24"/>
  <c r="F12" i="24"/>
  <c r="H10" i="24"/>
  <c r="G35" i="24"/>
  <c r="C35" i="24"/>
  <c r="G33" i="24"/>
  <c r="C33" i="24"/>
  <c r="G31" i="24"/>
  <c r="C31" i="24"/>
  <c r="G29" i="24"/>
  <c r="C29" i="24"/>
  <c r="G48" i="24"/>
  <c r="C48" i="24"/>
  <c r="G46" i="24"/>
  <c r="C46" i="24"/>
  <c r="G42" i="24"/>
  <c r="C42" i="24"/>
  <c r="G55" i="24"/>
  <c r="C55" i="24"/>
  <c r="G62" i="24"/>
  <c r="G63" i="24" s="1"/>
  <c r="C62" i="24"/>
  <c r="G58" i="24"/>
  <c r="C58" i="24"/>
  <c r="H73" i="24"/>
  <c r="H74" i="24" s="1"/>
  <c r="D73" i="24"/>
  <c r="D74" i="24" s="1"/>
  <c r="F71" i="24"/>
  <c r="F72" i="24" s="1"/>
  <c r="F35" i="24"/>
  <c r="F33" i="24"/>
  <c r="F31" i="24"/>
  <c r="F32" i="24" s="1"/>
  <c r="F29" i="24"/>
  <c r="F48" i="24"/>
  <c r="F46" i="24"/>
  <c r="F42" i="24"/>
  <c r="F43" i="24" s="1"/>
  <c r="F55" i="24"/>
  <c r="F60" i="24"/>
  <c r="F58" i="24"/>
  <c r="P35" i="34"/>
  <c r="L35" i="34"/>
  <c r="H35" i="34"/>
  <c r="D35" i="34"/>
  <c r="O33" i="34"/>
  <c r="K33" i="34"/>
  <c r="G33" i="34"/>
  <c r="C33" i="34"/>
  <c r="N31" i="34"/>
  <c r="J31" i="34"/>
  <c r="F31" i="34"/>
  <c r="Q29" i="34"/>
  <c r="M29" i="34"/>
  <c r="I29" i="34"/>
  <c r="E29" i="34"/>
  <c r="N48" i="34"/>
  <c r="J48" i="34"/>
  <c r="F48" i="34"/>
  <c r="Q46" i="34"/>
  <c r="M46" i="34"/>
  <c r="I46" i="34"/>
  <c r="E46" i="34"/>
  <c r="P44" i="34"/>
  <c r="L44" i="34"/>
  <c r="H44" i="34"/>
  <c r="D44" i="34"/>
  <c r="O42" i="34"/>
  <c r="K42" i="34"/>
  <c r="G42" i="34"/>
  <c r="C42" i="34"/>
  <c r="N55" i="34"/>
  <c r="R56" i="34" s="1"/>
  <c r="J55" i="34"/>
  <c r="F55" i="34"/>
  <c r="O62" i="34"/>
  <c r="K62" i="34"/>
  <c r="G62" i="34"/>
  <c r="C62" i="34"/>
  <c r="N60" i="34"/>
  <c r="J60" i="34"/>
  <c r="F60" i="34"/>
  <c r="Q58" i="34"/>
  <c r="M58" i="34"/>
  <c r="I58" i="34"/>
  <c r="E58" i="34"/>
  <c r="N73" i="34"/>
  <c r="J73" i="34"/>
  <c r="O35" i="34"/>
  <c r="K35" i="34"/>
  <c r="G35" i="34"/>
  <c r="C35" i="34"/>
  <c r="N33" i="34"/>
  <c r="J33" i="34"/>
  <c r="F33" i="34"/>
  <c r="Q31" i="34"/>
  <c r="M31" i="34"/>
  <c r="I31" i="34"/>
  <c r="E31" i="34"/>
  <c r="P29" i="34"/>
  <c r="L29" i="34"/>
  <c r="H29" i="34"/>
  <c r="D29" i="34"/>
  <c r="Q48" i="34"/>
  <c r="M48" i="34"/>
  <c r="O44" i="34"/>
  <c r="K44" i="34"/>
  <c r="G44" i="34"/>
  <c r="C44" i="34"/>
  <c r="N42" i="34"/>
  <c r="J42" i="34"/>
  <c r="F42" i="34"/>
  <c r="Q55" i="34"/>
  <c r="U56" i="34" s="1"/>
  <c r="M55" i="34"/>
  <c r="I55" i="34"/>
  <c r="E55" i="34"/>
  <c r="N62" i="34"/>
  <c r="J62" i="34"/>
  <c r="F62" i="34"/>
  <c r="Q60" i="34"/>
  <c r="M60" i="34"/>
  <c r="I60" i="34"/>
  <c r="E60" i="34"/>
  <c r="P58" i="34"/>
  <c r="L58" i="34"/>
  <c r="H58" i="34"/>
  <c r="D58" i="34"/>
  <c r="H73" i="34"/>
  <c r="J17" i="34"/>
  <c r="Q17" i="34"/>
  <c r="M17" i="34"/>
  <c r="I17" i="34"/>
  <c r="I73" i="34"/>
  <c r="E17" i="34"/>
  <c r="E73" i="34"/>
  <c r="P17" i="34"/>
  <c r="P71" i="34"/>
  <c r="L17" i="34"/>
  <c r="L71" i="34"/>
  <c r="H17" i="34"/>
  <c r="H71" i="34"/>
  <c r="D17" i="34"/>
  <c r="D71" i="34"/>
  <c r="F35" i="34"/>
  <c r="Q33" i="34"/>
  <c r="M33" i="34"/>
  <c r="I33" i="34"/>
  <c r="E33" i="34"/>
  <c r="O29" i="34"/>
  <c r="K29" i="34"/>
  <c r="G29" i="34"/>
  <c r="C29" i="34"/>
  <c r="P48" i="34"/>
  <c r="L48" i="34"/>
  <c r="H48" i="34"/>
  <c r="D48" i="34"/>
  <c r="O46" i="34"/>
  <c r="K46" i="34"/>
  <c r="G46" i="34"/>
  <c r="C46" i="34"/>
  <c r="Q42" i="34"/>
  <c r="M42" i="34"/>
  <c r="I42" i="34"/>
  <c r="E42" i="34"/>
  <c r="P55" i="34"/>
  <c r="T56" i="34" s="1"/>
  <c r="L55" i="34"/>
  <c r="H55" i="34"/>
  <c r="D55" i="34"/>
  <c r="Q62" i="34"/>
  <c r="M62" i="34"/>
  <c r="I62" i="34"/>
  <c r="E62" i="34"/>
  <c r="P60" i="34"/>
  <c r="L60" i="34"/>
  <c r="H60" i="34"/>
  <c r="D60" i="34"/>
  <c r="O58" i="34"/>
  <c r="K58" i="34"/>
  <c r="G58" i="34"/>
  <c r="C58" i="34"/>
  <c r="P73" i="34"/>
  <c r="L73" i="34"/>
  <c r="Q35" i="34"/>
  <c r="M35" i="34"/>
  <c r="I35" i="34"/>
  <c r="E35" i="34"/>
  <c r="P33" i="34"/>
  <c r="L33" i="34"/>
  <c r="H33" i="34"/>
  <c r="D33" i="34"/>
  <c r="N29" i="34"/>
  <c r="J29" i="34"/>
  <c r="F29" i="34"/>
  <c r="O48" i="34"/>
  <c r="K48" i="34"/>
  <c r="G48" i="34"/>
  <c r="C48" i="34"/>
  <c r="N46" i="34"/>
  <c r="J46" i="34"/>
  <c r="F46" i="34"/>
  <c r="P42" i="34"/>
  <c r="L42" i="34"/>
  <c r="H42" i="34"/>
  <c r="D42" i="34"/>
  <c r="O55" i="34"/>
  <c r="S56" i="34" s="1"/>
  <c r="K55" i="34"/>
  <c r="G55" i="34"/>
  <c r="C55" i="34"/>
  <c r="D62" i="34"/>
  <c r="O60" i="34"/>
  <c r="K60" i="34"/>
  <c r="G60" i="34"/>
  <c r="C60" i="34"/>
  <c r="N58" i="34"/>
  <c r="J58" i="34"/>
  <c r="F58" i="34"/>
  <c r="E30" i="25"/>
  <c r="G28" i="25"/>
  <c r="E26" i="25"/>
  <c r="E22" i="25"/>
  <c r="E18" i="25"/>
  <c r="E14" i="25"/>
  <c r="E10" i="25"/>
  <c r="J76" i="25"/>
  <c r="K77" i="25" s="1"/>
  <c r="O59" i="12"/>
  <c r="S60" i="12" s="1"/>
  <c r="O61" i="12"/>
  <c r="S62" i="12" s="1"/>
  <c r="O57" i="12"/>
  <c r="S58" i="12" s="1"/>
  <c r="K59" i="12"/>
  <c r="K61" i="12"/>
  <c r="K57" i="12"/>
  <c r="G59" i="12"/>
  <c r="G61" i="12"/>
  <c r="G57" i="12"/>
  <c r="Q54" i="12"/>
  <c r="M54" i="12"/>
  <c r="I54" i="12"/>
  <c r="L53" i="12"/>
  <c r="R53" i="12"/>
  <c r="R77" i="12"/>
  <c r="N53" i="12"/>
  <c r="N77" i="12"/>
  <c r="J53" i="12"/>
  <c r="J77" i="12"/>
  <c r="F77" i="12"/>
  <c r="Q69" i="12"/>
  <c r="U70" i="12" s="1"/>
  <c r="M69" i="12"/>
  <c r="I69" i="12"/>
  <c r="E69" i="12"/>
  <c r="R61" i="12"/>
  <c r="R57" i="12"/>
  <c r="R59" i="12"/>
  <c r="N61" i="12"/>
  <c r="N57" i="12"/>
  <c r="N59" i="12"/>
  <c r="J61" i="12"/>
  <c r="J57" i="12"/>
  <c r="J59" i="12"/>
  <c r="F61" i="12"/>
  <c r="F57" i="12"/>
  <c r="F59" i="12"/>
  <c r="P69" i="12"/>
  <c r="T70" i="12" s="1"/>
  <c r="L69" i="12"/>
  <c r="H69" i="12"/>
  <c r="Q57" i="12"/>
  <c r="U58" i="12" s="1"/>
  <c r="Q59" i="12"/>
  <c r="U60" i="12" s="1"/>
  <c r="Q61" i="12"/>
  <c r="U62" i="12" s="1"/>
  <c r="M57" i="12"/>
  <c r="M59" i="12"/>
  <c r="M61" i="12"/>
  <c r="I57" i="12"/>
  <c r="I59" i="12"/>
  <c r="I61" i="12"/>
  <c r="E57" i="12"/>
  <c r="E58" i="12" s="1"/>
  <c r="E59" i="12"/>
  <c r="E60" i="12" s="1"/>
  <c r="E61" i="12"/>
  <c r="E62" i="12" s="1"/>
  <c r="P57" i="12"/>
  <c r="T58" i="12" s="1"/>
  <c r="P59" i="12"/>
  <c r="T60" i="12" s="1"/>
  <c r="P61" i="12"/>
  <c r="T62" i="12" s="1"/>
  <c r="L57" i="12"/>
  <c r="L59" i="12"/>
  <c r="L61" i="12"/>
  <c r="H57" i="12"/>
  <c r="H59" i="12"/>
  <c r="H61" i="12"/>
  <c r="M53" i="12"/>
  <c r="O53" i="12"/>
  <c r="O77" i="12"/>
  <c r="S78" i="12" s="1"/>
  <c r="K53" i="12"/>
  <c r="K77" i="12"/>
  <c r="G77" i="12"/>
  <c r="R69" i="12"/>
  <c r="N69" i="12"/>
  <c r="J69" i="12"/>
  <c r="F69" i="12"/>
  <c r="J65" i="25"/>
  <c r="K66" i="25" s="1"/>
  <c r="F14" i="25"/>
  <c r="G14" i="25"/>
  <c r="F53" i="25"/>
  <c r="F10" i="25"/>
  <c r="G10" i="25"/>
  <c r="F49" i="25"/>
  <c r="F76" i="25"/>
  <c r="D66" i="25"/>
  <c r="E66" i="25"/>
  <c r="D58" i="25"/>
  <c r="E58" i="25"/>
  <c r="D54" i="25"/>
  <c r="E54" i="25"/>
  <c r="D50" i="25"/>
  <c r="E50" i="25"/>
  <c r="F26" i="25"/>
  <c r="G26" i="25"/>
  <c r="F65" i="25"/>
  <c r="F22" i="25"/>
  <c r="G22" i="25"/>
  <c r="F61" i="25"/>
  <c r="F18" i="25"/>
  <c r="G18" i="25"/>
  <c r="F57" i="25"/>
  <c r="J53" i="25"/>
  <c r="K54" i="25" s="1"/>
  <c r="J49" i="25"/>
  <c r="K50" i="25" s="1"/>
  <c r="F68" i="25"/>
  <c r="G68" i="25"/>
  <c r="H66" i="25"/>
  <c r="I66" i="25"/>
  <c r="F64" i="25"/>
  <c r="G64" i="25"/>
  <c r="H62" i="25"/>
  <c r="I62" i="25"/>
  <c r="H58" i="25"/>
  <c r="I58" i="25"/>
  <c r="F56" i="25"/>
  <c r="G56" i="25"/>
  <c r="H54" i="25"/>
  <c r="I54" i="25"/>
  <c r="F52" i="25"/>
  <c r="G52" i="25"/>
  <c r="H50" i="25"/>
  <c r="I50" i="25"/>
  <c r="H28" i="25"/>
  <c r="H67" i="25"/>
  <c r="D28" i="25"/>
  <c r="E28" i="25"/>
  <c r="D67" i="25"/>
  <c r="H24" i="25"/>
  <c r="H63" i="25"/>
  <c r="D24" i="25"/>
  <c r="E24" i="25"/>
  <c r="D63" i="25"/>
  <c r="H16" i="25"/>
  <c r="H55" i="25"/>
  <c r="D16" i="25"/>
  <c r="E16" i="25"/>
  <c r="D55" i="25"/>
  <c r="H12" i="25"/>
  <c r="H51" i="25"/>
  <c r="D12" i="25"/>
  <c r="E12" i="25"/>
  <c r="D51" i="25"/>
  <c r="F30" i="25"/>
  <c r="G30" i="25"/>
  <c r="J61" i="25"/>
  <c r="K62" i="25" s="1"/>
  <c r="J57" i="25"/>
  <c r="K58" i="25" s="1"/>
  <c r="J69" i="25"/>
  <c r="K70" i="25" s="1"/>
  <c r="F69" i="25"/>
  <c r="J64" i="25"/>
  <c r="F24" i="25"/>
  <c r="F16" i="25"/>
  <c r="E16" i="24"/>
  <c r="G14" i="24"/>
  <c r="E12" i="24"/>
  <c r="G10" i="24"/>
  <c r="W53" i="39"/>
  <c r="T58" i="39"/>
  <c r="T54" i="39"/>
  <c r="T50" i="39"/>
  <c r="I5" i="8"/>
  <c r="J5" i="8"/>
  <c r="M5" i="8"/>
  <c r="I6" i="8"/>
  <c r="J6" i="8"/>
  <c r="M6" i="8"/>
  <c r="M3" i="24"/>
  <c r="M3" i="25" s="1"/>
  <c r="H5" i="24"/>
  <c r="I5" i="24"/>
  <c r="J5" i="24"/>
  <c r="M5" i="24"/>
  <c r="H86" i="24"/>
  <c r="H88" i="24" s="1"/>
  <c r="I86" i="24"/>
  <c r="I88" i="24" s="1"/>
  <c r="J86" i="24"/>
  <c r="J88" i="24" s="1"/>
  <c r="M86" i="24"/>
  <c r="M88" i="24" s="1"/>
  <c r="H89" i="24"/>
  <c r="I89" i="24"/>
  <c r="I90" i="24"/>
  <c r="H91" i="24"/>
  <c r="I91" i="24"/>
  <c r="I92" i="24"/>
  <c r="M3" i="26"/>
  <c r="C5" i="26"/>
  <c r="D5" i="26"/>
  <c r="E5" i="26"/>
  <c r="F5" i="26"/>
  <c r="G5" i="26"/>
  <c r="H5" i="26"/>
  <c r="I5" i="26"/>
  <c r="J5" i="26"/>
  <c r="M5" i="26"/>
  <c r="C6" i="26"/>
  <c r="D6" i="26"/>
  <c r="E6" i="26"/>
  <c r="F6" i="26"/>
  <c r="G6" i="26"/>
  <c r="H6" i="26"/>
  <c r="I6" i="26"/>
  <c r="J6" i="26"/>
  <c r="M6" i="26"/>
  <c r="C7" i="26"/>
  <c r="D7" i="26"/>
  <c r="E7" i="26"/>
  <c r="F7" i="26"/>
  <c r="G7" i="26"/>
  <c r="H7" i="26"/>
  <c r="I7" i="26"/>
  <c r="J7" i="26"/>
  <c r="M7" i="26"/>
  <c r="H5" i="25"/>
  <c r="I5" i="25"/>
  <c r="J5" i="25"/>
  <c r="M5" i="25"/>
  <c r="J52" i="25" l="1"/>
  <c r="J68" i="25"/>
  <c r="J56" i="25"/>
  <c r="F59" i="24"/>
  <c r="H92" i="24"/>
  <c r="H90" i="24"/>
  <c r="J44" i="4"/>
  <c r="G47" i="24"/>
  <c r="G34" i="24"/>
  <c r="I59" i="6"/>
  <c r="E32" i="24"/>
  <c r="J24" i="4"/>
  <c r="J34" i="4" s="1"/>
  <c r="K105" i="2" s="1"/>
  <c r="E49" i="24"/>
  <c r="E36" i="24"/>
  <c r="F50" i="34"/>
  <c r="N50" i="34"/>
  <c r="O50" i="34"/>
  <c r="G75" i="34"/>
  <c r="F64" i="34"/>
  <c r="F75" i="34"/>
  <c r="N75" i="34"/>
  <c r="G43" i="24"/>
  <c r="E45" i="24"/>
  <c r="G56" i="24"/>
  <c r="G30" i="24"/>
  <c r="F49" i="24"/>
  <c r="F36" i="24"/>
  <c r="D51" i="6"/>
  <c r="P78" i="12"/>
  <c r="T78" i="12"/>
  <c r="M92" i="24"/>
  <c r="M91" i="24"/>
  <c r="M90" i="24"/>
  <c r="M89" i="24"/>
  <c r="J92" i="24"/>
  <c r="J91" i="24"/>
  <c r="J90" i="24"/>
  <c r="J89" i="24"/>
  <c r="C64" i="34"/>
  <c r="D62" i="25"/>
  <c r="N64" i="34"/>
  <c r="G64" i="34"/>
  <c r="C50" i="34"/>
  <c r="I93" i="24"/>
  <c r="C75" i="34"/>
  <c r="G50" i="34"/>
  <c r="H93" i="24"/>
  <c r="J59" i="6"/>
  <c r="J57" i="6"/>
  <c r="O70" i="12"/>
  <c r="S70" i="12"/>
  <c r="R78" i="12"/>
  <c r="H51" i="6"/>
  <c r="D70" i="25"/>
  <c r="K64" i="34"/>
  <c r="K75" i="34"/>
  <c r="G59" i="24"/>
  <c r="O64" i="34"/>
  <c r="O75" i="34"/>
  <c r="K50" i="34"/>
  <c r="F61" i="24"/>
  <c r="D59" i="6"/>
  <c r="F56" i="24"/>
  <c r="F47" i="24"/>
  <c r="F34" i="24"/>
  <c r="G59" i="6"/>
  <c r="K58" i="12"/>
  <c r="O62" i="12"/>
  <c r="L60" i="12"/>
  <c r="E51" i="6"/>
  <c r="Q60" i="12"/>
  <c r="J60" i="12"/>
  <c r="O78" i="12"/>
  <c r="M62" i="12"/>
  <c r="I58" i="12"/>
  <c r="Q62" i="12"/>
  <c r="N58" i="12"/>
  <c r="R62" i="12"/>
  <c r="N70" i="12"/>
  <c r="P58" i="12"/>
  <c r="J58" i="12"/>
  <c r="G70" i="24"/>
  <c r="F30" i="24"/>
  <c r="L70" i="12"/>
  <c r="M70" i="12"/>
  <c r="Q70" i="12"/>
  <c r="R70" i="12"/>
  <c r="J78" i="12"/>
  <c r="N62" i="12"/>
  <c r="L58" i="12"/>
  <c r="D57" i="6"/>
  <c r="O58" i="12"/>
  <c r="D75" i="34"/>
  <c r="D50" i="34"/>
  <c r="D37" i="34"/>
  <c r="D64" i="34"/>
  <c r="L75" i="34"/>
  <c r="L50" i="34"/>
  <c r="L37" i="34"/>
  <c r="L64" i="34"/>
  <c r="E64" i="34"/>
  <c r="E75" i="34"/>
  <c r="E50" i="34"/>
  <c r="E37" i="34"/>
  <c r="Q64" i="34"/>
  <c r="Q75" i="34"/>
  <c r="Q50" i="34"/>
  <c r="Q37" i="34"/>
  <c r="G49" i="24"/>
  <c r="G32" i="24"/>
  <c r="G36" i="24"/>
  <c r="G72" i="24"/>
  <c r="D63" i="24"/>
  <c r="D43" i="24"/>
  <c r="D47" i="24"/>
  <c r="D30" i="24"/>
  <c r="D34" i="24"/>
  <c r="H72" i="24"/>
  <c r="G74" i="24"/>
  <c r="G51" i="6"/>
  <c r="F51" i="6"/>
  <c r="E57" i="6"/>
  <c r="G53" i="6"/>
  <c r="F53" i="6"/>
  <c r="P70" i="12"/>
  <c r="J37" i="34"/>
  <c r="J64" i="34"/>
  <c r="J75" i="34"/>
  <c r="J50" i="34"/>
  <c r="D59" i="24"/>
  <c r="H63" i="24"/>
  <c r="H43" i="24"/>
  <c r="H47" i="24"/>
  <c r="H30" i="24"/>
  <c r="H34" i="24"/>
  <c r="E56" i="24"/>
  <c r="E47" i="24"/>
  <c r="E30" i="24"/>
  <c r="E34" i="24"/>
  <c r="G61" i="24"/>
  <c r="I51" i="6"/>
  <c r="H57" i="6"/>
  <c r="J51" i="6"/>
  <c r="E59" i="6"/>
  <c r="J53" i="6"/>
  <c r="J70" i="12"/>
  <c r="P62" i="12"/>
  <c r="I62" i="12"/>
  <c r="M60" i="12"/>
  <c r="Q58" i="12"/>
  <c r="J62" i="12"/>
  <c r="R60" i="12"/>
  <c r="I70" i="12"/>
  <c r="N78" i="12"/>
  <c r="K62" i="12"/>
  <c r="O60" i="12"/>
  <c r="H75" i="34"/>
  <c r="H50" i="34"/>
  <c r="H37" i="34"/>
  <c r="H64" i="34"/>
  <c r="P75" i="34"/>
  <c r="P50" i="34"/>
  <c r="P37" i="34"/>
  <c r="P64" i="34"/>
  <c r="I64" i="34"/>
  <c r="I75" i="34"/>
  <c r="I50" i="34"/>
  <c r="I37" i="34"/>
  <c r="H59" i="24"/>
  <c r="D56" i="24"/>
  <c r="D49" i="24"/>
  <c r="D32" i="24"/>
  <c r="D36" i="24"/>
  <c r="D53" i="6"/>
  <c r="E74" i="24"/>
  <c r="E53" i="6"/>
  <c r="F59" i="6"/>
  <c r="G57" i="6"/>
  <c r="F57" i="6"/>
  <c r="K78" i="12"/>
  <c r="L62" i="12"/>
  <c r="P60" i="12"/>
  <c r="I60" i="12"/>
  <c r="M58" i="12"/>
  <c r="N60" i="12"/>
  <c r="R58" i="12"/>
  <c r="K60" i="12"/>
  <c r="M64" i="34"/>
  <c r="M75" i="34"/>
  <c r="M50" i="34"/>
  <c r="M37" i="34"/>
  <c r="H56" i="24"/>
  <c r="H49" i="24"/>
  <c r="H32" i="24"/>
  <c r="H36" i="24"/>
  <c r="D72" i="24"/>
  <c r="E59" i="24"/>
  <c r="E63" i="24"/>
  <c r="E43" i="24"/>
  <c r="H53" i="6"/>
  <c r="H59" i="6"/>
  <c r="I53" i="6"/>
  <c r="I57" i="6"/>
  <c r="H52" i="25"/>
  <c r="I52" i="25"/>
  <c r="D68" i="25"/>
  <c r="E68" i="25"/>
  <c r="J58" i="25"/>
  <c r="J62" i="25"/>
  <c r="D56" i="25"/>
  <c r="E56" i="25"/>
  <c r="H56" i="25"/>
  <c r="I56" i="25"/>
  <c r="D64" i="25"/>
  <c r="E64" i="25"/>
  <c r="H64" i="25"/>
  <c r="I64" i="25"/>
  <c r="J50" i="25"/>
  <c r="J70" i="25"/>
  <c r="D52" i="25"/>
  <c r="E52" i="25"/>
  <c r="J54" i="25"/>
  <c r="F58" i="25"/>
  <c r="G58" i="25"/>
  <c r="F62" i="25"/>
  <c r="G62" i="25"/>
  <c r="F66" i="25"/>
  <c r="G66" i="25"/>
  <c r="F50" i="25"/>
  <c r="G50" i="25"/>
  <c r="H68" i="25"/>
  <c r="I68" i="25"/>
  <c r="F70" i="25"/>
  <c r="G70" i="25"/>
  <c r="F54" i="25"/>
  <c r="G54" i="25"/>
  <c r="J66" i="25"/>
  <c r="M3" i="8"/>
  <c r="J93" i="24" l="1"/>
  <c r="M93" i="24"/>
  <c r="J77" i="25"/>
  <c r="B43" i="35" l="1"/>
  <c r="B30" i="35"/>
  <c r="B11" i="35"/>
  <c r="A91" i="34"/>
  <c r="A90" i="34"/>
  <c r="A89" i="34"/>
  <c r="A88" i="34"/>
  <c r="B11" i="34"/>
  <c r="B31" i="34" s="1"/>
  <c r="C7" i="35"/>
  <c r="D7" i="35"/>
  <c r="E7" i="35"/>
  <c r="F7" i="35"/>
  <c r="G7" i="35"/>
  <c r="H7" i="35"/>
  <c r="I7" i="35"/>
  <c r="J7" i="35"/>
  <c r="K7" i="35"/>
  <c r="L7" i="35"/>
  <c r="M7" i="35"/>
  <c r="N7" i="35"/>
  <c r="O7" i="35"/>
  <c r="P7" i="35"/>
  <c r="Q7" i="35"/>
  <c r="A91" i="8"/>
  <c r="A90" i="8"/>
  <c r="A89" i="8"/>
  <c r="A88" i="8"/>
  <c r="A84" i="8"/>
  <c r="A83" i="8"/>
  <c r="A82" i="8"/>
  <c r="A81" i="8"/>
  <c r="B11" i="24"/>
  <c r="E13" i="12"/>
  <c r="E12" i="12"/>
  <c r="B31" i="24" l="1"/>
  <c r="C32" i="24" s="1"/>
  <c r="C12" i="24"/>
  <c r="B44" i="24"/>
  <c r="C45" i="24" s="1"/>
  <c r="B44" i="34"/>
  <c r="E63" i="12"/>
  <c r="E65" i="12"/>
  <c r="E19" i="34"/>
  <c r="B12" i="24"/>
  <c r="H128" i="6"/>
  <c r="I128" i="6"/>
  <c r="J128" i="6"/>
  <c r="I99" i="6"/>
  <c r="B95" i="6"/>
  <c r="B94" i="6"/>
  <c r="B93" i="6"/>
  <c r="M87" i="6"/>
  <c r="J87" i="6"/>
  <c r="I87" i="6"/>
  <c r="H87" i="6"/>
  <c r="G87" i="6"/>
  <c r="F87" i="6"/>
  <c r="E87" i="6"/>
  <c r="D87" i="6"/>
  <c r="C87" i="6"/>
  <c r="B87" i="6"/>
  <c r="E77" i="34" l="1"/>
  <c r="E52" i="34"/>
  <c r="E39" i="34"/>
  <c r="E66" i="34"/>
  <c r="E24" i="34"/>
  <c r="E25" i="34"/>
  <c r="E22" i="34"/>
  <c r="E23" i="34"/>
  <c r="E26" i="34"/>
  <c r="T32" i="17"/>
  <c r="U32" i="17"/>
  <c r="V32" i="17"/>
  <c r="W32" i="17"/>
  <c r="X32" i="17"/>
  <c r="Y32" i="17"/>
  <c r="Y33" i="17" s="1"/>
  <c r="Z32" i="17"/>
  <c r="AA32" i="17"/>
  <c r="T34" i="17"/>
  <c r="U34" i="17"/>
  <c r="V34" i="17"/>
  <c r="W34" i="17"/>
  <c r="X34" i="17"/>
  <c r="Y34" i="17"/>
  <c r="Z34" i="17"/>
  <c r="AA34" i="17"/>
  <c r="S34" i="17"/>
  <c r="S32" i="17"/>
  <c r="T56" i="17"/>
  <c r="U56" i="17"/>
  <c r="V56" i="17"/>
  <c r="W56" i="17"/>
  <c r="X56" i="17"/>
  <c r="Y56" i="17"/>
  <c r="Z56" i="17"/>
  <c r="AA56" i="17"/>
  <c r="S56" i="17"/>
  <c r="R30" i="17"/>
  <c r="AD60" i="17"/>
  <c r="AD59" i="17"/>
  <c r="AD58" i="17"/>
  <c r="AD57" i="17"/>
  <c r="AD56" i="17"/>
  <c r="AD55" i="17"/>
  <c r="AD52" i="17"/>
  <c r="AC52" i="17"/>
  <c r="AD50" i="17"/>
  <c r="AC50" i="17"/>
  <c r="AD49" i="17"/>
  <c r="AC49" i="17"/>
  <c r="AC45" i="17"/>
  <c r="AD44" i="17"/>
  <c r="AC44" i="17"/>
  <c r="AD42" i="17"/>
  <c r="AC42" i="17"/>
  <c r="AD40" i="17"/>
  <c r="AC40" i="17"/>
  <c r="AD38" i="17"/>
  <c r="AC38" i="17"/>
  <c r="AD36" i="17"/>
  <c r="AC36" i="17"/>
  <c r="AD34" i="17"/>
  <c r="AC34" i="17"/>
  <c r="AD32" i="17"/>
  <c r="AC32" i="17"/>
  <c r="U33" i="17" l="1"/>
  <c r="AA35" i="17"/>
  <c r="W35" i="17"/>
  <c r="AA33" i="17"/>
  <c r="W33" i="17"/>
  <c r="Y35" i="17"/>
  <c r="U35" i="17"/>
  <c r="AC51" i="17"/>
  <c r="AD37" i="17"/>
  <c r="AD41" i="17"/>
  <c r="AD33" i="17"/>
  <c r="Z35" i="17"/>
  <c r="V35" i="17"/>
  <c r="Z33" i="17"/>
  <c r="V33" i="17"/>
  <c r="X35" i="17"/>
  <c r="T35" i="17"/>
  <c r="X33" i="17"/>
  <c r="T33" i="17"/>
  <c r="AD53" i="17"/>
  <c r="AD35" i="17"/>
  <c r="AD39" i="17"/>
  <c r="AD43" i="17"/>
  <c r="AD51" i="17"/>
  <c r="AC46" i="17"/>
  <c r="AC53" i="17"/>
  <c r="N5" i="31"/>
  <c r="O5" i="31"/>
  <c r="P5" i="31"/>
  <c r="Q5" i="31"/>
  <c r="R5" i="31"/>
  <c r="S5" i="31"/>
  <c r="N6" i="31"/>
  <c r="O6" i="31"/>
  <c r="P6" i="31"/>
  <c r="Q6" i="31"/>
  <c r="R6" i="31"/>
  <c r="S6" i="31"/>
  <c r="N7" i="31"/>
  <c r="N8" i="31" s="1"/>
  <c r="O7" i="31"/>
  <c r="O8" i="31" s="1"/>
  <c r="P7" i="31"/>
  <c r="Q7" i="31"/>
  <c r="Q35" i="31" s="1"/>
  <c r="R7" i="31"/>
  <c r="R8" i="31" s="1"/>
  <c r="S7" i="31"/>
  <c r="S9" i="31" s="1"/>
  <c r="P8" i="31"/>
  <c r="N16" i="31"/>
  <c r="Q60" i="31"/>
  <c r="R60" i="31"/>
  <c r="S60" i="31"/>
  <c r="N5" i="30"/>
  <c r="O5" i="30"/>
  <c r="P5" i="30"/>
  <c r="Q5" i="30"/>
  <c r="R5" i="30"/>
  <c r="S5" i="30"/>
  <c r="T5" i="30"/>
  <c r="P12" i="30"/>
  <c r="P13" i="30" s="1"/>
  <c r="Q13" i="30"/>
  <c r="R12" i="30"/>
  <c r="R13" i="30" s="1"/>
  <c r="R44" i="30" s="1"/>
  <c r="S12" i="30"/>
  <c r="S13" i="30" s="1"/>
  <c r="T12" i="30"/>
  <c r="T13" i="30" s="1"/>
  <c r="P22" i="30"/>
  <c r="Q22" i="30"/>
  <c r="R22" i="30"/>
  <c r="S22" i="30"/>
  <c r="T22" i="30"/>
  <c r="P34" i="30"/>
  <c r="Q34" i="30"/>
  <c r="R34" i="30"/>
  <c r="S34" i="30"/>
  <c r="T34" i="30"/>
  <c r="N40" i="30"/>
  <c r="N43" i="30"/>
  <c r="O43" i="30"/>
  <c r="P43" i="30"/>
  <c r="Q43" i="30"/>
  <c r="R43" i="30"/>
  <c r="S43" i="30"/>
  <c r="T43" i="30"/>
  <c r="S46" i="30"/>
  <c r="T46" i="30"/>
  <c r="Q56" i="30"/>
  <c r="N57" i="30"/>
  <c r="O57" i="30"/>
  <c r="P57" i="30"/>
  <c r="Q57" i="30"/>
  <c r="R57" i="30"/>
  <c r="S57" i="30"/>
  <c r="T57" i="30"/>
  <c r="N61" i="30"/>
  <c r="O61" i="30"/>
  <c r="P61" i="30"/>
  <c r="Q61" i="30"/>
  <c r="R61" i="30"/>
  <c r="S61" i="30"/>
  <c r="T61" i="30"/>
  <c r="N62" i="30"/>
  <c r="O62" i="30"/>
  <c r="P62" i="30"/>
  <c r="Q62" i="30"/>
  <c r="R62" i="30"/>
  <c r="S62" i="30"/>
  <c r="T62" i="30"/>
  <c r="I5" i="27"/>
  <c r="J5" i="27"/>
  <c r="I6" i="27"/>
  <c r="J6" i="27"/>
  <c r="I8" i="27"/>
  <c r="I9" i="27"/>
  <c r="I10" i="27"/>
  <c r="I11" i="27"/>
  <c r="I14" i="27"/>
  <c r="I15" i="27"/>
  <c r="I16" i="27"/>
  <c r="J16" i="27"/>
  <c r="I17" i="27"/>
  <c r="I18" i="27"/>
  <c r="I19" i="27"/>
  <c r="I20" i="27"/>
  <c r="I21" i="27"/>
  <c r="I23" i="27"/>
  <c r="I24" i="27"/>
  <c r="I25" i="27"/>
  <c r="I26" i="27"/>
  <c r="I27" i="27"/>
  <c r="I28" i="27"/>
  <c r="I29" i="27"/>
  <c r="I30" i="27"/>
  <c r="I31" i="27"/>
  <c r="I32" i="27"/>
  <c r="I33" i="27"/>
  <c r="I36" i="27"/>
  <c r="I5" i="19"/>
  <c r="J5" i="19"/>
  <c r="I12" i="19"/>
  <c r="I13" i="19" s="1"/>
  <c r="J12" i="19"/>
  <c r="J13" i="19" s="1"/>
  <c r="I22" i="19"/>
  <c r="J22" i="19"/>
  <c r="I34" i="19"/>
  <c r="J34" i="19"/>
  <c r="I37" i="19"/>
  <c r="J37" i="19"/>
  <c r="I43" i="19"/>
  <c r="J43" i="19"/>
  <c r="I57" i="19"/>
  <c r="J57" i="19"/>
  <c r="I61" i="19"/>
  <c r="J61" i="19"/>
  <c r="I62" i="19"/>
  <c r="J62" i="19"/>
  <c r="N5" i="41"/>
  <c r="O5" i="41"/>
  <c r="P5" i="41"/>
  <c r="Q5" i="41"/>
  <c r="N6" i="41"/>
  <c r="O6" i="41"/>
  <c r="P6" i="41"/>
  <c r="Q6" i="41"/>
  <c r="N7" i="41"/>
  <c r="N124" i="41" s="1"/>
  <c r="O7" i="41"/>
  <c r="O9" i="41" s="1"/>
  <c r="P7" i="41"/>
  <c r="P9" i="41" s="1"/>
  <c r="Q7" i="41"/>
  <c r="Q16" i="41" s="1"/>
  <c r="N8" i="41"/>
  <c r="N9" i="41"/>
  <c r="N10" i="41"/>
  <c r="N11" i="41"/>
  <c r="O11" i="41"/>
  <c r="N12" i="41"/>
  <c r="P12" i="41"/>
  <c r="N14" i="41"/>
  <c r="N16" i="41"/>
  <c r="N18" i="41"/>
  <c r="N20" i="41"/>
  <c r="N22" i="41"/>
  <c r="N26" i="41"/>
  <c r="N28" i="41"/>
  <c r="O28" i="41"/>
  <c r="N30" i="41"/>
  <c r="O30" i="41"/>
  <c r="O40" i="41"/>
  <c r="O114" i="41" s="1"/>
  <c r="O46" i="41"/>
  <c r="O48" i="41"/>
  <c r="O51" i="41"/>
  <c r="N53" i="41"/>
  <c r="O54" i="41"/>
  <c r="O103" i="41" s="1"/>
  <c r="N55" i="41"/>
  <c r="O55" i="41"/>
  <c r="N59" i="41"/>
  <c r="O60" i="41"/>
  <c r="O62" i="41"/>
  <c r="O64" i="41"/>
  <c r="O124" i="41"/>
  <c r="L5" i="41"/>
  <c r="M5" i="41"/>
  <c r="L6" i="41"/>
  <c r="M6" i="41"/>
  <c r="L7" i="41"/>
  <c r="L21" i="41" s="1"/>
  <c r="L102" i="41" s="1"/>
  <c r="M7" i="41"/>
  <c r="M8" i="41" s="1"/>
  <c r="N5" i="40"/>
  <c r="O5" i="40"/>
  <c r="P5" i="40"/>
  <c r="Q5" i="40"/>
  <c r="R5" i="40"/>
  <c r="O13" i="41"/>
  <c r="P13" i="40"/>
  <c r="Q13" i="40"/>
  <c r="R13" i="40"/>
  <c r="R13" i="41" s="1"/>
  <c r="R24" i="41" s="1"/>
  <c r="P23" i="40"/>
  <c r="Q23" i="40"/>
  <c r="R23" i="40"/>
  <c r="P33" i="40"/>
  <c r="Q33" i="40"/>
  <c r="R33" i="40"/>
  <c r="R108" i="40" s="1"/>
  <c r="P43" i="40"/>
  <c r="P109" i="40" s="1"/>
  <c r="Q43" i="40"/>
  <c r="Q117" i="40" s="1"/>
  <c r="R43" i="40"/>
  <c r="R109" i="40" s="1"/>
  <c r="P49" i="40"/>
  <c r="Q49" i="40"/>
  <c r="R49" i="40"/>
  <c r="N57" i="40"/>
  <c r="N111" i="40" s="1"/>
  <c r="O57" i="40"/>
  <c r="O111" i="40" s="1"/>
  <c r="P57" i="40"/>
  <c r="P111" i="40" s="1"/>
  <c r="Q57" i="40"/>
  <c r="Q111" i="40" s="1"/>
  <c r="R57" i="40"/>
  <c r="R111" i="40" s="1"/>
  <c r="N66" i="40"/>
  <c r="N125" i="40" s="1"/>
  <c r="O66" i="40"/>
  <c r="O125" i="40" s="1"/>
  <c r="P66" i="40"/>
  <c r="P125" i="40" s="1"/>
  <c r="Q66" i="40"/>
  <c r="Q125" i="40" s="1"/>
  <c r="R66" i="40"/>
  <c r="R123" i="40" s="1"/>
  <c r="R126" i="40" s="1"/>
  <c r="N70" i="40"/>
  <c r="N88" i="40" s="1"/>
  <c r="O70" i="40"/>
  <c r="O79" i="40" s="1"/>
  <c r="P70" i="40"/>
  <c r="P79" i="40" s="1"/>
  <c r="Q70" i="40"/>
  <c r="Q88" i="40" s="1"/>
  <c r="R70" i="40"/>
  <c r="R79" i="40" s="1"/>
  <c r="N71" i="40"/>
  <c r="O71" i="40"/>
  <c r="P71" i="40"/>
  <c r="Q71" i="40"/>
  <c r="R71" i="40"/>
  <c r="N79" i="40"/>
  <c r="N81" i="40"/>
  <c r="O81" i="40"/>
  <c r="P81" i="40"/>
  <c r="Q81" i="40"/>
  <c r="R81" i="40"/>
  <c r="N82" i="40"/>
  <c r="O82" i="40"/>
  <c r="P82" i="40"/>
  <c r="Q82" i="40"/>
  <c r="R82" i="40"/>
  <c r="N83" i="40"/>
  <c r="O83" i="40"/>
  <c r="P83" i="40"/>
  <c r="Q83" i="40"/>
  <c r="R83" i="40"/>
  <c r="N84" i="40"/>
  <c r="O84" i="40"/>
  <c r="P84" i="40"/>
  <c r="Q84" i="40"/>
  <c r="R84" i="40"/>
  <c r="R88" i="40"/>
  <c r="N102" i="40"/>
  <c r="O102" i="40"/>
  <c r="P102" i="40"/>
  <c r="Q102" i="40"/>
  <c r="R102" i="40"/>
  <c r="N103" i="40"/>
  <c r="O103" i="40"/>
  <c r="P103" i="40"/>
  <c r="Q103" i="40"/>
  <c r="R103" i="40"/>
  <c r="N108" i="40"/>
  <c r="O108" i="40"/>
  <c r="P108" i="40"/>
  <c r="N109" i="40"/>
  <c r="O109" i="40"/>
  <c r="O110" i="40"/>
  <c r="N114" i="40"/>
  <c r="O114" i="40"/>
  <c r="P114" i="40"/>
  <c r="Q114" i="40"/>
  <c r="R114" i="40"/>
  <c r="N115" i="40"/>
  <c r="N116" i="40"/>
  <c r="O116" i="40"/>
  <c r="N117" i="40"/>
  <c r="O117" i="40"/>
  <c r="N118" i="40"/>
  <c r="O118" i="40"/>
  <c r="P118" i="40"/>
  <c r="Q118" i="40"/>
  <c r="R118" i="40"/>
  <c r="N123" i="40"/>
  <c r="N126" i="40" s="1"/>
  <c r="O123" i="40"/>
  <c r="O126" i="40"/>
  <c r="I5" i="4"/>
  <c r="J5" i="4"/>
  <c r="I6" i="4"/>
  <c r="J6" i="4"/>
  <c r="I14" i="4"/>
  <c r="I27" i="4"/>
  <c r="J83" i="4"/>
  <c r="I32" i="4"/>
  <c r="I46" i="4"/>
  <c r="I52" i="4"/>
  <c r="J55" i="4"/>
  <c r="I59" i="4"/>
  <c r="J59" i="4"/>
  <c r="J61" i="4"/>
  <c r="I64" i="4"/>
  <c r="I5" i="18"/>
  <c r="J5" i="18"/>
  <c r="I13" i="18"/>
  <c r="J13" i="18"/>
  <c r="I23" i="18"/>
  <c r="J23" i="18"/>
  <c r="I33" i="18"/>
  <c r="J33" i="18"/>
  <c r="I43" i="18"/>
  <c r="I109" i="18" s="1"/>
  <c r="J43" i="18"/>
  <c r="J117" i="18" s="1"/>
  <c r="I49" i="18"/>
  <c r="J49" i="18"/>
  <c r="I57" i="18"/>
  <c r="I111" i="18" s="1"/>
  <c r="J57" i="18"/>
  <c r="J111" i="18" s="1"/>
  <c r="I66" i="18"/>
  <c r="I125" i="18" s="1"/>
  <c r="J66" i="18"/>
  <c r="I70" i="18"/>
  <c r="J70" i="18"/>
  <c r="J79" i="18" s="1"/>
  <c r="I71" i="18"/>
  <c r="J71" i="18"/>
  <c r="I73" i="18"/>
  <c r="J73" i="18"/>
  <c r="I81" i="18"/>
  <c r="J81" i="18"/>
  <c r="I82" i="18"/>
  <c r="J82" i="18"/>
  <c r="I83" i="18"/>
  <c r="J83" i="18"/>
  <c r="I84" i="18"/>
  <c r="J84" i="18"/>
  <c r="I102" i="18"/>
  <c r="J102" i="18"/>
  <c r="I103" i="18"/>
  <c r="J103" i="18"/>
  <c r="I117" i="18"/>
  <c r="I118" i="18"/>
  <c r="J118" i="18"/>
  <c r="I121" i="18"/>
  <c r="J121" i="18"/>
  <c r="N5" i="13"/>
  <c r="O5" i="13"/>
  <c r="P5" i="13"/>
  <c r="Q5" i="13"/>
  <c r="R5" i="13"/>
  <c r="N6" i="13"/>
  <c r="O6" i="13"/>
  <c r="P6" i="13"/>
  <c r="Q6" i="13"/>
  <c r="R6" i="13"/>
  <c r="N7" i="13"/>
  <c r="O7" i="13"/>
  <c r="O33" i="13" s="1"/>
  <c r="P7" i="13"/>
  <c r="P16" i="13" s="1"/>
  <c r="Q7" i="13"/>
  <c r="Q31" i="13" s="1"/>
  <c r="R7" i="13"/>
  <c r="N50" i="13"/>
  <c r="O50" i="13"/>
  <c r="S51" i="13" s="1"/>
  <c r="P50" i="13"/>
  <c r="T51" i="13" s="1"/>
  <c r="Q50" i="13"/>
  <c r="U51" i="13" s="1"/>
  <c r="R50" i="13"/>
  <c r="R51" i="13" s="1"/>
  <c r="N52" i="13"/>
  <c r="O52" i="13"/>
  <c r="S53" i="13" s="1"/>
  <c r="P52" i="13"/>
  <c r="T53" i="13" s="1"/>
  <c r="Q52" i="13"/>
  <c r="U53" i="13" s="1"/>
  <c r="R52" i="13"/>
  <c r="N55" i="13"/>
  <c r="O55" i="13"/>
  <c r="P55" i="13"/>
  <c r="Q55" i="13"/>
  <c r="R55" i="13"/>
  <c r="N5" i="12"/>
  <c r="O5" i="12"/>
  <c r="P5" i="12"/>
  <c r="Q5" i="12"/>
  <c r="R5" i="12"/>
  <c r="N12" i="12"/>
  <c r="O12" i="12"/>
  <c r="P12" i="12"/>
  <c r="Q12" i="12"/>
  <c r="R12" i="12"/>
  <c r="N13" i="12"/>
  <c r="O13" i="12"/>
  <c r="S14" i="12" s="1"/>
  <c r="P13" i="12"/>
  <c r="T14" i="12" s="1"/>
  <c r="Q13" i="12"/>
  <c r="U14" i="12" s="1"/>
  <c r="R13" i="12"/>
  <c r="R19" i="34" s="1"/>
  <c r="N20" i="12"/>
  <c r="N24" i="12" s="1"/>
  <c r="O20" i="12"/>
  <c r="P20" i="12"/>
  <c r="P24" i="12" s="1"/>
  <c r="T25" i="12" s="1"/>
  <c r="Q20" i="12"/>
  <c r="Q24" i="12" s="1"/>
  <c r="U25" i="12" s="1"/>
  <c r="R20" i="12"/>
  <c r="R24" i="12" s="1"/>
  <c r="O24" i="12"/>
  <c r="S25" i="12" s="1"/>
  <c r="O46" i="30"/>
  <c r="I5" i="2"/>
  <c r="J5" i="2"/>
  <c r="I6" i="2"/>
  <c r="J6" i="2"/>
  <c r="I7" i="8"/>
  <c r="I50" i="2"/>
  <c r="J50" i="2"/>
  <c r="K51" i="2" s="1"/>
  <c r="I52" i="2"/>
  <c r="J52" i="2"/>
  <c r="K53" i="2" s="1"/>
  <c r="I55" i="2"/>
  <c r="J55" i="2"/>
  <c r="I5" i="11"/>
  <c r="J5" i="11"/>
  <c r="I12" i="11"/>
  <c r="J12" i="11"/>
  <c r="I13" i="11"/>
  <c r="J13" i="11"/>
  <c r="K14" i="11" s="1"/>
  <c r="I20" i="11"/>
  <c r="J20" i="11"/>
  <c r="I50" i="11"/>
  <c r="J50" i="11"/>
  <c r="K51" i="11" s="1"/>
  <c r="I52" i="11"/>
  <c r="J52" i="11"/>
  <c r="K53" i="11" s="1"/>
  <c r="I55" i="11"/>
  <c r="J55" i="11"/>
  <c r="I67" i="11"/>
  <c r="J67" i="11"/>
  <c r="K68" i="11" s="1"/>
  <c r="I71" i="11"/>
  <c r="J71" i="11"/>
  <c r="K72" i="11" s="1"/>
  <c r="I90" i="11"/>
  <c r="I46" i="19" s="1"/>
  <c r="J90" i="11"/>
  <c r="I91" i="11"/>
  <c r="J91" i="11"/>
  <c r="I93" i="11"/>
  <c r="J93" i="11"/>
  <c r="K4" i="17"/>
  <c r="K5" i="17"/>
  <c r="K6" i="17"/>
  <c r="K7" i="17"/>
  <c r="K8" i="17"/>
  <c r="K9" i="17"/>
  <c r="K11" i="17"/>
  <c r="K12" i="17"/>
  <c r="K32" i="17"/>
  <c r="L33" i="17" s="1"/>
  <c r="K34" i="17"/>
  <c r="L35" i="17" s="1"/>
  <c r="K45" i="17"/>
  <c r="K184" i="17" s="1"/>
  <c r="K66" i="17"/>
  <c r="K67" i="17"/>
  <c r="K68" i="17"/>
  <c r="K109" i="17"/>
  <c r="K131" i="17" s="1"/>
  <c r="K133" i="17"/>
  <c r="K204" i="17"/>
  <c r="K205" i="17"/>
  <c r="K206" i="17"/>
  <c r="K209" i="17"/>
  <c r="K213" i="17"/>
  <c r="K301" i="17" s="1"/>
  <c r="K216" i="17"/>
  <c r="K235" i="17"/>
  <c r="K236" i="17"/>
  <c r="K237" i="17"/>
  <c r="K238" i="17"/>
  <c r="K254" i="17" s="1"/>
  <c r="K239" i="17"/>
  <c r="K240" i="17"/>
  <c r="K241" i="17"/>
  <c r="K242" i="17"/>
  <c r="K251" i="17"/>
  <c r="K253" i="17" s="1"/>
  <c r="K261" i="17"/>
  <c r="K262" i="17"/>
  <c r="K264" i="17"/>
  <c r="K271" i="17"/>
  <c r="K272" i="17"/>
  <c r="K273" i="17"/>
  <c r="K276" i="17"/>
  <c r="K277" i="17"/>
  <c r="K281" i="17"/>
  <c r="K282" i="17"/>
  <c r="K283" i="17"/>
  <c r="K287" i="17"/>
  <c r="K288" i="17"/>
  <c r="K289" i="17"/>
  <c r="K302" i="17"/>
  <c r="K306" i="17"/>
  <c r="K309" i="17"/>
  <c r="K310" i="17"/>
  <c r="K330" i="17"/>
  <c r="J32" i="17"/>
  <c r="J85" i="17" s="1"/>
  <c r="J34" i="17"/>
  <c r="J89" i="17" s="1"/>
  <c r="J66" i="17"/>
  <c r="J67" i="17"/>
  <c r="J68" i="17"/>
  <c r="J109" i="17"/>
  <c r="J251" i="17"/>
  <c r="J253" i="17" s="1"/>
  <c r="J330" i="17"/>
  <c r="N5" i="37"/>
  <c r="O5" i="37"/>
  <c r="P5" i="37"/>
  <c r="Q5" i="37"/>
  <c r="N6" i="37"/>
  <c r="O6" i="37"/>
  <c r="P6" i="37"/>
  <c r="Q6" i="37"/>
  <c r="N7" i="37"/>
  <c r="O7" i="37"/>
  <c r="P7" i="37"/>
  <c r="Q7" i="37"/>
  <c r="N5" i="36"/>
  <c r="O5" i="36"/>
  <c r="P5" i="36"/>
  <c r="Q5" i="36"/>
  <c r="R5" i="36"/>
  <c r="S5" i="36"/>
  <c r="T5" i="36"/>
  <c r="U5" i="36"/>
  <c r="N9" i="36"/>
  <c r="N49" i="36" s="1"/>
  <c r="O9" i="36"/>
  <c r="O49" i="36" s="1"/>
  <c r="P9" i="36"/>
  <c r="Q9" i="36"/>
  <c r="Q49" i="36" s="1"/>
  <c r="R9" i="36"/>
  <c r="S9" i="36"/>
  <c r="S49" i="36" s="1"/>
  <c r="S50" i="36" s="1"/>
  <c r="T9" i="36"/>
  <c r="U9" i="36"/>
  <c r="R10" i="36"/>
  <c r="S10" i="36"/>
  <c r="N11" i="36"/>
  <c r="N51" i="36" s="1"/>
  <c r="O11" i="36"/>
  <c r="O51" i="36" s="1"/>
  <c r="P11" i="36"/>
  <c r="P51" i="36" s="1"/>
  <c r="Q11" i="36"/>
  <c r="Q51" i="36" s="1"/>
  <c r="R11" i="36"/>
  <c r="R51" i="36" s="1"/>
  <c r="R52" i="36" s="1"/>
  <c r="S11" i="36"/>
  <c r="S12" i="36" s="1"/>
  <c r="T11" i="36"/>
  <c r="T51" i="36" s="1"/>
  <c r="T52" i="36" s="1"/>
  <c r="U11" i="36"/>
  <c r="N13" i="36"/>
  <c r="N53" i="36" s="1"/>
  <c r="O13" i="36"/>
  <c r="O53" i="36" s="1"/>
  <c r="P13" i="36"/>
  <c r="P53" i="36" s="1"/>
  <c r="Q13" i="36"/>
  <c r="Q53" i="36" s="1"/>
  <c r="R13" i="36"/>
  <c r="R53" i="36" s="1"/>
  <c r="R54" i="36" s="1"/>
  <c r="S13" i="36"/>
  <c r="S53" i="36" s="1"/>
  <c r="S54" i="36" s="1"/>
  <c r="T13" i="36"/>
  <c r="T14" i="36" s="1"/>
  <c r="U13" i="36"/>
  <c r="N15" i="36"/>
  <c r="N55" i="36" s="1"/>
  <c r="O15" i="36"/>
  <c r="O55" i="36" s="1"/>
  <c r="P15" i="36"/>
  <c r="P55" i="36" s="1"/>
  <c r="Q15" i="36"/>
  <c r="Q55" i="36" s="1"/>
  <c r="R15" i="36"/>
  <c r="R16" i="36" s="1"/>
  <c r="S15" i="36"/>
  <c r="S55" i="36" s="1"/>
  <c r="S56" i="36" s="1"/>
  <c r="T15" i="36"/>
  <c r="T55" i="36" s="1"/>
  <c r="U15" i="36"/>
  <c r="N17" i="36"/>
  <c r="N57" i="36" s="1"/>
  <c r="O17" i="36"/>
  <c r="P17" i="36"/>
  <c r="P57" i="36" s="1"/>
  <c r="Q17" i="36"/>
  <c r="Q57" i="36" s="1"/>
  <c r="R17" i="36"/>
  <c r="R57" i="36" s="1"/>
  <c r="R58" i="36" s="1"/>
  <c r="S17" i="36"/>
  <c r="S18" i="36" s="1"/>
  <c r="T17" i="36"/>
  <c r="T57" i="36" s="1"/>
  <c r="T58" i="36" s="1"/>
  <c r="U17" i="36"/>
  <c r="O19" i="36"/>
  <c r="O59" i="36" s="1"/>
  <c r="R19" i="36"/>
  <c r="S19" i="36"/>
  <c r="T19" i="36"/>
  <c r="U19" i="36"/>
  <c r="N21" i="36"/>
  <c r="N61" i="36" s="1"/>
  <c r="O21" i="36"/>
  <c r="O61" i="36" s="1"/>
  <c r="P21" i="36"/>
  <c r="P61" i="36" s="1"/>
  <c r="Q21" i="36"/>
  <c r="Q61" i="36" s="1"/>
  <c r="R21" i="36"/>
  <c r="R61" i="36" s="1"/>
  <c r="S21" i="36"/>
  <c r="T21" i="36"/>
  <c r="T61" i="36" s="1"/>
  <c r="U21" i="36"/>
  <c r="U61" i="36" s="1"/>
  <c r="N23" i="36"/>
  <c r="N63" i="36" s="1"/>
  <c r="O23" i="36"/>
  <c r="O63" i="36" s="1"/>
  <c r="P23" i="36"/>
  <c r="P63" i="36" s="1"/>
  <c r="Q23" i="36"/>
  <c r="Q63" i="36" s="1"/>
  <c r="R23" i="36"/>
  <c r="R63" i="36" s="1"/>
  <c r="S23" i="36"/>
  <c r="S63" i="36" s="1"/>
  <c r="T23" i="36"/>
  <c r="T24" i="36" s="1"/>
  <c r="U23" i="36"/>
  <c r="R24" i="36"/>
  <c r="N25" i="36"/>
  <c r="N65" i="36" s="1"/>
  <c r="O25" i="36"/>
  <c r="O65" i="36" s="1"/>
  <c r="P25" i="36"/>
  <c r="P65" i="36" s="1"/>
  <c r="Q25" i="36"/>
  <c r="Q65" i="36" s="1"/>
  <c r="R25" i="36"/>
  <c r="S25" i="36"/>
  <c r="S65" i="36" s="1"/>
  <c r="T25" i="36"/>
  <c r="U25" i="36"/>
  <c r="N27" i="36"/>
  <c r="N67" i="36" s="1"/>
  <c r="O27" i="36"/>
  <c r="P27" i="36"/>
  <c r="P67" i="36" s="1"/>
  <c r="Q27" i="36"/>
  <c r="Q67" i="36" s="1"/>
  <c r="R27" i="36"/>
  <c r="R67" i="36" s="1"/>
  <c r="S27" i="36"/>
  <c r="S67" i="36" s="1"/>
  <c r="T27" i="36"/>
  <c r="T67" i="36" s="1"/>
  <c r="T68" i="36" s="1"/>
  <c r="U27" i="36"/>
  <c r="U67" i="36" s="1"/>
  <c r="N29" i="36"/>
  <c r="N69" i="36" s="1"/>
  <c r="O29" i="36"/>
  <c r="O69" i="36" s="1"/>
  <c r="P29" i="36"/>
  <c r="P69" i="36" s="1"/>
  <c r="Q29" i="36"/>
  <c r="Q69" i="36" s="1"/>
  <c r="R29" i="36"/>
  <c r="R69" i="36" s="1"/>
  <c r="S29" i="36"/>
  <c r="S69" i="36" s="1"/>
  <c r="S70" i="36" s="1"/>
  <c r="T29" i="36"/>
  <c r="T69" i="36" s="1"/>
  <c r="U29" i="36"/>
  <c r="R49" i="36"/>
  <c r="O57" i="36"/>
  <c r="T59" i="36"/>
  <c r="S61" i="36"/>
  <c r="K176" i="17"/>
  <c r="K172" i="17"/>
  <c r="N5" i="35"/>
  <c r="O5" i="35"/>
  <c r="P5" i="35"/>
  <c r="Q5" i="35"/>
  <c r="N6" i="35"/>
  <c r="O6" i="35"/>
  <c r="P6" i="35"/>
  <c r="Q6" i="35"/>
  <c r="Q82" i="35"/>
  <c r="N80" i="35"/>
  <c r="P80" i="35"/>
  <c r="Q80" i="35"/>
  <c r="N81" i="35"/>
  <c r="P81" i="35"/>
  <c r="Q81" i="35"/>
  <c r="N82" i="35"/>
  <c r="P82" i="35"/>
  <c r="N83" i="35"/>
  <c r="P83" i="35"/>
  <c r="Q83" i="35"/>
  <c r="N84" i="35"/>
  <c r="P84" i="35"/>
  <c r="Q84" i="35"/>
  <c r="N5" i="34"/>
  <c r="O5" i="34"/>
  <c r="P5" i="34"/>
  <c r="Q5" i="34"/>
  <c r="N88" i="34"/>
  <c r="O88" i="34"/>
  <c r="P88" i="34"/>
  <c r="Q88" i="34"/>
  <c r="N89" i="34"/>
  <c r="O89" i="34"/>
  <c r="P89" i="34"/>
  <c r="Q89" i="34"/>
  <c r="N90" i="34"/>
  <c r="O90" i="34"/>
  <c r="P90" i="34"/>
  <c r="Q90" i="34"/>
  <c r="N91" i="34"/>
  <c r="O91" i="34"/>
  <c r="P91" i="34"/>
  <c r="Q91" i="34"/>
  <c r="N92" i="34"/>
  <c r="O92" i="34"/>
  <c r="P92" i="34"/>
  <c r="Q92" i="34"/>
  <c r="Q93" i="34" s="1"/>
  <c r="N93" i="34"/>
  <c r="O93" i="34"/>
  <c r="P93" i="34"/>
  <c r="N15" i="39"/>
  <c r="O15" i="39"/>
  <c r="P15" i="39"/>
  <c r="Q15" i="39"/>
  <c r="R15" i="39"/>
  <c r="N17" i="39"/>
  <c r="O17" i="39"/>
  <c r="P17" i="39"/>
  <c r="Q17" i="39"/>
  <c r="R17" i="39"/>
  <c r="N21" i="39"/>
  <c r="O21" i="39"/>
  <c r="P21" i="39"/>
  <c r="Q21" i="39"/>
  <c r="R21" i="39"/>
  <c r="N23" i="39"/>
  <c r="O23" i="39"/>
  <c r="P23" i="39"/>
  <c r="Q23" i="39"/>
  <c r="R23" i="39"/>
  <c r="N28" i="39"/>
  <c r="O28" i="39"/>
  <c r="P28" i="39"/>
  <c r="Q28" i="39"/>
  <c r="R28" i="39"/>
  <c r="N32" i="39"/>
  <c r="O32" i="39"/>
  <c r="P32" i="39"/>
  <c r="Q32" i="39"/>
  <c r="R32" i="39"/>
  <c r="N34" i="39"/>
  <c r="O34" i="39"/>
  <c r="P34" i="39"/>
  <c r="Q34" i="39"/>
  <c r="R34" i="39"/>
  <c r="N35" i="39"/>
  <c r="O35" i="39"/>
  <c r="P35" i="39"/>
  <c r="Q35" i="39"/>
  <c r="R35" i="39"/>
  <c r="N38" i="39"/>
  <c r="O38" i="39"/>
  <c r="P38" i="39"/>
  <c r="Q38" i="39"/>
  <c r="R38" i="39"/>
  <c r="N40" i="39"/>
  <c r="O40" i="39"/>
  <c r="P40" i="39"/>
  <c r="Q40" i="39"/>
  <c r="R40" i="39"/>
  <c r="N41" i="39"/>
  <c r="O41" i="39"/>
  <c r="P41" i="39"/>
  <c r="Q41" i="39"/>
  <c r="R41" i="39"/>
  <c r="N44" i="39"/>
  <c r="O44" i="39"/>
  <c r="P44" i="39"/>
  <c r="Q44" i="39"/>
  <c r="R44" i="39"/>
  <c r="N46" i="39"/>
  <c r="O46" i="39"/>
  <c r="P46" i="39"/>
  <c r="Q46" i="39"/>
  <c r="R46" i="39"/>
  <c r="N47" i="39"/>
  <c r="O47" i="39"/>
  <c r="P47" i="39"/>
  <c r="Q47" i="39"/>
  <c r="R47" i="39"/>
  <c r="N48" i="39"/>
  <c r="O48" i="39"/>
  <c r="P48" i="39"/>
  <c r="Q48" i="39"/>
  <c r="R48" i="39"/>
  <c r="N50" i="39"/>
  <c r="O50" i="39"/>
  <c r="S51" i="39" s="1"/>
  <c r="P50" i="39"/>
  <c r="T51" i="39" s="1"/>
  <c r="Q50" i="39"/>
  <c r="U51" i="39" s="1"/>
  <c r="R50" i="39"/>
  <c r="N52" i="39"/>
  <c r="O52" i="39"/>
  <c r="S53" i="39" s="1"/>
  <c r="P52" i="39"/>
  <c r="T53" i="39" s="1"/>
  <c r="Q52" i="39"/>
  <c r="U53" i="39" s="1"/>
  <c r="R52" i="39"/>
  <c r="N54" i="39"/>
  <c r="O54" i="39"/>
  <c r="S55" i="39" s="1"/>
  <c r="P54" i="39"/>
  <c r="T55" i="39" s="1"/>
  <c r="Q54" i="39"/>
  <c r="U55" i="39" s="1"/>
  <c r="R54" i="39"/>
  <c r="N56" i="39"/>
  <c r="O56" i="39"/>
  <c r="S57" i="39" s="1"/>
  <c r="P56" i="39"/>
  <c r="T57" i="39" s="1"/>
  <c r="Q56" i="39"/>
  <c r="U57" i="39" s="1"/>
  <c r="R56" i="39"/>
  <c r="N58" i="39"/>
  <c r="O58" i="39"/>
  <c r="S59" i="39" s="1"/>
  <c r="P58" i="39"/>
  <c r="T59" i="39" s="1"/>
  <c r="Q58" i="39"/>
  <c r="U59" i="39" s="1"/>
  <c r="R58" i="39"/>
  <c r="Q62" i="39"/>
  <c r="R62" i="39"/>
  <c r="N64" i="39"/>
  <c r="O64" i="39"/>
  <c r="S65" i="39" s="1"/>
  <c r="W66" i="39" s="1"/>
  <c r="AA67" i="39" s="1"/>
  <c r="P64" i="39"/>
  <c r="T65" i="39" s="1"/>
  <c r="X66" i="39" s="1"/>
  <c r="AB67" i="39" s="1"/>
  <c r="Q64" i="39"/>
  <c r="U65" i="39" s="1"/>
  <c r="Y66" i="39" s="1"/>
  <c r="R64" i="39"/>
  <c r="V65" i="39" s="1"/>
  <c r="N68" i="39"/>
  <c r="O68" i="39"/>
  <c r="S69" i="39" s="1"/>
  <c r="P68" i="39"/>
  <c r="T69" i="39" s="1"/>
  <c r="Q68" i="39"/>
  <c r="U69" i="39" s="1"/>
  <c r="R68" i="39"/>
  <c r="N71" i="39"/>
  <c r="O71" i="39"/>
  <c r="P71" i="39"/>
  <c r="Q71" i="39"/>
  <c r="R71" i="39"/>
  <c r="Q73" i="39"/>
  <c r="R73" i="39"/>
  <c r="N76" i="39"/>
  <c r="N78" i="39"/>
  <c r="J15" i="6"/>
  <c r="J17" i="6"/>
  <c r="J21" i="6"/>
  <c r="J28" i="6"/>
  <c r="J32" i="6"/>
  <c r="J34" i="6"/>
  <c r="J35" i="6"/>
  <c r="J38" i="6"/>
  <c r="J40" i="6"/>
  <c r="J41" i="6"/>
  <c r="J44" i="6"/>
  <c r="J46" i="6"/>
  <c r="J47" i="6"/>
  <c r="J48" i="6"/>
  <c r="J67" i="6"/>
  <c r="J81" i="6"/>
  <c r="J100" i="6"/>
  <c r="J103" i="6" s="1"/>
  <c r="J99" i="6"/>
  <c r="J143" i="6"/>
  <c r="J162" i="6"/>
  <c r="J172" i="6"/>
  <c r="J173" i="6"/>
  <c r="J179" i="6"/>
  <c r="J180" i="6"/>
  <c r="J188" i="6"/>
  <c r="J189" i="6"/>
  <c r="J192" i="6"/>
  <c r="I15" i="6"/>
  <c r="I17" i="6"/>
  <c r="I21" i="6"/>
  <c r="I28" i="6"/>
  <c r="I32" i="6"/>
  <c r="I34" i="6"/>
  <c r="I35" i="6"/>
  <c r="I38" i="6"/>
  <c r="I40" i="6"/>
  <c r="I41" i="6"/>
  <c r="I44" i="6"/>
  <c r="I46" i="6"/>
  <c r="I47" i="6"/>
  <c r="I48" i="6"/>
  <c r="I100" i="6"/>
  <c r="I103" i="6" s="1"/>
  <c r="I143" i="6"/>
  <c r="I162" i="6"/>
  <c r="I172" i="6"/>
  <c r="I173" i="6"/>
  <c r="I179" i="6"/>
  <c r="I180" i="6"/>
  <c r="I188" i="6"/>
  <c r="I189" i="6"/>
  <c r="I192" i="6"/>
  <c r="U65" i="36" l="1"/>
  <c r="U59" i="36"/>
  <c r="U57" i="36"/>
  <c r="U69" i="36"/>
  <c r="U14" i="36"/>
  <c r="U49" i="36"/>
  <c r="P10" i="41"/>
  <c r="P8" i="41"/>
  <c r="R14" i="31"/>
  <c r="P11" i="41"/>
  <c r="R20" i="31"/>
  <c r="R77" i="34"/>
  <c r="R39" i="34"/>
  <c r="R52" i="34"/>
  <c r="R23" i="34"/>
  <c r="R22" i="34"/>
  <c r="R26" i="34"/>
  <c r="R66" i="34"/>
  <c r="R24" i="34"/>
  <c r="R25" i="34"/>
  <c r="J125" i="18"/>
  <c r="K107" i="11"/>
  <c r="P117" i="40"/>
  <c r="P116" i="40"/>
  <c r="O65" i="41"/>
  <c r="O63" i="41"/>
  <c r="O61" i="41"/>
  <c r="O59" i="41"/>
  <c r="O56" i="41"/>
  <c r="O53" i="41"/>
  <c r="O52" i="41"/>
  <c r="O50" i="41"/>
  <c r="O47" i="41"/>
  <c r="O42" i="41"/>
  <c r="O37" i="41"/>
  <c r="O84" i="41" s="1"/>
  <c r="O25" i="41"/>
  <c r="O21" i="41"/>
  <c r="O102" i="41" s="1"/>
  <c r="O12" i="41"/>
  <c r="S22" i="36"/>
  <c r="O38" i="41"/>
  <c r="O29" i="41"/>
  <c r="O83" i="41" s="1"/>
  <c r="O16" i="41"/>
  <c r="S57" i="36"/>
  <c r="O36" i="41"/>
  <c r="O20" i="41"/>
  <c r="O15" i="41"/>
  <c r="O8" i="41"/>
  <c r="O45" i="41"/>
  <c r="O35" i="41"/>
  <c r="O27" i="41"/>
  <c r="O14" i="41"/>
  <c r="O32" i="41"/>
  <c r="O26" i="41"/>
  <c r="O19" i="41"/>
  <c r="O10" i="41"/>
  <c r="O41" i="41"/>
  <c r="O31" i="41"/>
  <c r="O18" i="41"/>
  <c r="R70" i="36"/>
  <c r="R26" i="36"/>
  <c r="O39" i="41"/>
  <c r="O22" i="41"/>
  <c r="O17" i="41"/>
  <c r="Q9" i="41"/>
  <c r="Q11" i="41"/>
  <c r="P19" i="13"/>
  <c r="P17" i="37" s="1"/>
  <c r="T62" i="36"/>
  <c r="T53" i="36"/>
  <c r="R64" i="36"/>
  <c r="R14" i="36"/>
  <c r="I63" i="11"/>
  <c r="M54" i="41"/>
  <c r="M103" i="41" s="1"/>
  <c r="R62" i="36"/>
  <c r="R18" i="36"/>
  <c r="Q12" i="41"/>
  <c r="Q10" i="41"/>
  <c r="Q8" i="41"/>
  <c r="R35" i="31"/>
  <c r="N32" i="31"/>
  <c r="U70" i="36"/>
  <c r="S28" i="36"/>
  <c r="T70" i="36"/>
  <c r="U26" i="36"/>
  <c r="S24" i="36"/>
  <c r="T26" i="36"/>
  <c r="S66" i="36"/>
  <c r="U24" i="36"/>
  <c r="U16" i="36"/>
  <c r="S14" i="36"/>
  <c r="N28" i="31"/>
  <c r="N27" i="31"/>
  <c r="N61" i="31" s="1"/>
  <c r="N23" i="31"/>
  <c r="O40" i="13"/>
  <c r="I116" i="18"/>
  <c r="R125" i="40"/>
  <c r="M52" i="41"/>
  <c r="N56" i="41"/>
  <c r="N54" i="41"/>
  <c r="N103" i="41" s="1"/>
  <c r="N31" i="41"/>
  <c r="N29" i="41"/>
  <c r="N83" i="41" s="1"/>
  <c r="N27" i="41"/>
  <c r="N25" i="41"/>
  <c r="N71" i="41" s="1"/>
  <c r="N21" i="41"/>
  <c r="N102" i="41" s="1"/>
  <c r="N19" i="41"/>
  <c r="N17" i="41"/>
  <c r="N15" i="41"/>
  <c r="M61" i="41"/>
  <c r="M45" i="41"/>
  <c r="J123" i="18"/>
  <c r="J126" i="18" s="1"/>
  <c r="L61" i="41"/>
  <c r="P11" i="13"/>
  <c r="P15" i="35" s="1"/>
  <c r="P47" i="35" s="1"/>
  <c r="P123" i="40"/>
  <c r="P126" i="40" s="1"/>
  <c r="M65" i="41"/>
  <c r="M60" i="41"/>
  <c r="M50" i="41"/>
  <c r="Q52" i="41"/>
  <c r="N31" i="31"/>
  <c r="R25" i="31"/>
  <c r="N19" i="31"/>
  <c r="R10" i="31"/>
  <c r="R28" i="36"/>
  <c r="P36" i="13"/>
  <c r="P13" i="41"/>
  <c r="M63" i="41"/>
  <c r="M56" i="41"/>
  <c r="M47" i="41"/>
  <c r="Q124" i="41"/>
  <c r="Q59" i="41"/>
  <c r="Q31" i="41"/>
  <c r="R29" i="31"/>
  <c r="N24" i="31"/>
  <c r="N18" i="31"/>
  <c r="I123" i="18"/>
  <c r="I126" i="18" s="1"/>
  <c r="O72" i="40"/>
  <c r="M64" i="41"/>
  <c r="M55" i="41"/>
  <c r="M51" i="41"/>
  <c r="M46" i="41"/>
  <c r="L12" i="41"/>
  <c r="N65" i="41"/>
  <c r="N63" i="41"/>
  <c r="N61" i="41"/>
  <c r="N52" i="41"/>
  <c r="N50" i="41"/>
  <c r="N47" i="41"/>
  <c r="N45" i="41"/>
  <c r="N41" i="41"/>
  <c r="N39" i="41"/>
  <c r="N37" i="41"/>
  <c r="N84" i="41" s="1"/>
  <c r="N35" i="41"/>
  <c r="N45" i="31"/>
  <c r="R31" i="31"/>
  <c r="N29" i="31"/>
  <c r="N26" i="31"/>
  <c r="R23" i="31"/>
  <c r="N20" i="31"/>
  <c r="N17" i="31"/>
  <c r="N11" i="31"/>
  <c r="Q79" i="40"/>
  <c r="Q72" i="40"/>
  <c r="Q90" i="40" s="1"/>
  <c r="M124" i="41"/>
  <c r="M62" i="41"/>
  <c r="M59" i="41"/>
  <c r="M53" i="41"/>
  <c r="M48" i="41"/>
  <c r="M39" i="41"/>
  <c r="N64" i="41"/>
  <c r="N62" i="41"/>
  <c r="N60" i="41"/>
  <c r="N51" i="41"/>
  <c r="N48" i="41"/>
  <c r="N46" i="41"/>
  <c r="N42" i="41"/>
  <c r="N40" i="41"/>
  <c r="N114" i="41" s="1"/>
  <c r="N38" i="41"/>
  <c r="N118" i="41" s="1"/>
  <c r="N36" i="41"/>
  <c r="N32" i="41"/>
  <c r="N35" i="31"/>
  <c r="N30" i="31"/>
  <c r="R27" i="31"/>
  <c r="R61" i="31" s="1"/>
  <c r="R62" i="31" s="1"/>
  <c r="N25" i="31"/>
  <c r="N21" i="31"/>
  <c r="R18" i="31"/>
  <c r="N15" i="31"/>
  <c r="N9" i="31"/>
  <c r="M36" i="41"/>
  <c r="M41" i="41"/>
  <c r="M19" i="41"/>
  <c r="R110" i="41"/>
  <c r="R112" i="41" s="1"/>
  <c r="R34" i="41"/>
  <c r="M42" i="41"/>
  <c r="M29" i="41"/>
  <c r="M83" i="41" s="1"/>
  <c r="O81" i="41"/>
  <c r="I43" i="27"/>
  <c r="R16" i="31"/>
  <c r="N14" i="31"/>
  <c r="R9" i="31"/>
  <c r="R45" i="31"/>
  <c r="R32" i="31"/>
  <c r="R30" i="31"/>
  <c r="R28" i="31"/>
  <c r="R26" i="31"/>
  <c r="R24" i="31"/>
  <c r="R21" i="31"/>
  <c r="R19" i="31"/>
  <c r="R17" i="31"/>
  <c r="R15" i="31"/>
  <c r="R56" i="31"/>
  <c r="U55" i="36"/>
  <c r="Q123" i="40"/>
  <c r="Q126" i="40" s="1"/>
  <c r="Q47" i="41"/>
  <c r="Q27" i="41"/>
  <c r="O17" i="31"/>
  <c r="S15" i="31"/>
  <c r="Q41" i="41"/>
  <c r="O82" i="41"/>
  <c r="Q21" i="41"/>
  <c r="Q102" i="41" s="1"/>
  <c r="P104" i="40"/>
  <c r="Q63" i="41"/>
  <c r="Q56" i="41"/>
  <c r="O57" i="41"/>
  <c r="O111" i="41" s="1"/>
  <c r="Q37" i="41"/>
  <c r="Q84" i="41" s="1"/>
  <c r="O118" i="41"/>
  <c r="Q17" i="41"/>
  <c r="O21" i="31"/>
  <c r="S19" i="31"/>
  <c r="S10" i="31"/>
  <c r="R116" i="40"/>
  <c r="R55" i="36"/>
  <c r="R56" i="36" s="1"/>
  <c r="J65" i="11"/>
  <c r="K66" i="11" s="1"/>
  <c r="T63" i="36"/>
  <c r="O46" i="13"/>
  <c r="O22" i="13"/>
  <c r="O23" i="37" s="1"/>
  <c r="R117" i="40"/>
  <c r="O70" i="41"/>
  <c r="O88" i="41" s="1"/>
  <c r="Q64" i="41"/>
  <c r="Q60" i="41"/>
  <c r="Q53" i="41"/>
  <c r="Q48" i="41"/>
  <c r="Q42" i="41"/>
  <c r="Q38" i="41"/>
  <c r="Q32" i="41"/>
  <c r="Q28" i="41"/>
  <c r="Q22" i="41"/>
  <c r="Q18" i="41"/>
  <c r="Q14" i="41"/>
  <c r="S45" i="31"/>
  <c r="S35" i="31"/>
  <c r="S31" i="31"/>
  <c r="O29" i="31"/>
  <c r="S27" i="31"/>
  <c r="S61" i="31" s="1"/>
  <c r="S62" i="31" s="1"/>
  <c r="O25" i="31"/>
  <c r="S23" i="31"/>
  <c r="K311" i="17"/>
  <c r="O44" i="13"/>
  <c r="O34" i="13"/>
  <c r="O21" i="13"/>
  <c r="O21" i="37" s="1"/>
  <c r="Q13" i="41"/>
  <c r="O71" i="41"/>
  <c r="Q65" i="41"/>
  <c r="O66" i="41"/>
  <c r="O123" i="41" s="1"/>
  <c r="O126" i="41" s="1"/>
  <c r="Q61" i="41"/>
  <c r="Q54" i="41"/>
  <c r="Q103" i="41" s="1"/>
  <c r="Q50" i="41"/>
  <c r="Q45" i="41"/>
  <c r="Q39" i="41"/>
  <c r="Q35" i="41"/>
  <c r="Q29" i="41"/>
  <c r="Q83" i="41" s="1"/>
  <c r="Q25" i="41"/>
  <c r="Q19" i="41"/>
  <c r="Q15" i="41"/>
  <c r="S21" i="31"/>
  <c r="O19" i="31"/>
  <c r="S17" i="31"/>
  <c r="O15" i="31"/>
  <c r="R11" i="31"/>
  <c r="R12" i="31" s="1"/>
  <c r="O10" i="31"/>
  <c r="O41" i="13"/>
  <c r="P72" i="40"/>
  <c r="P92" i="40" s="1"/>
  <c r="Q62" i="41"/>
  <c r="Q55" i="41"/>
  <c r="Q51" i="41"/>
  <c r="Q46" i="41"/>
  <c r="Q40" i="41"/>
  <c r="Q114" i="41" s="1"/>
  <c r="Q36" i="41"/>
  <c r="Q30" i="41"/>
  <c r="Q26" i="41"/>
  <c r="Q20" i="41"/>
  <c r="O45" i="31"/>
  <c r="O35" i="31"/>
  <c r="O31" i="31"/>
  <c r="S29" i="31"/>
  <c r="O27" i="31"/>
  <c r="O61" i="31" s="1"/>
  <c r="S25" i="31"/>
  <c r="O23" i="31"/>
  <c r="N10" i="31"/>
  <c r="M40" i="41"/>
  <c r="M114" i="41" s="1"/>
  <c r="M31" i="41"/>
  <c r="J63" i="19"/>
  <c r="S8" i="31"/>
  <c r="R44" i="40"/>
  <c r="R115" i="40" s="1"/>
  <c r="M37" i="41"/>
  <c r="M84" i="41" s="1"/>
  <c r="M26" i="41"/>
  <c r="M35" i="41"/>
  <c r="M27" i="41"/>
  <c r="M30" i="41"/>
  <c r="M21" i="41"/>
  <c r="M102" i="41" s="1"/>
  <c r="M25" i="41"/>
  <c r="M18" i="41"/>
  <c r="M38" i="41"/>
  <c r="M32" i="41"/>
  <c r="M28" i="41"/>
  <c r="M22" i="41"/>
  <c r="M15" i="41"/>
  <c r="O104" i="41"/>
  <c r="O23" i="41"/>
  <c r="O24" i="41" s="1"/>
  <c r="R65" i="39"/>
  <c r="V66" i="39" s="1"/>
  <c r="J104" i="18"/>
  <c r="Q11" i="31"/>
  <c r="Q10" i="31"/>
  <c r="Q9" i="31"/>
  <c r="Q8" i="31"/>
  <c r="Q21" i="31"/>
  <c r="Q20" i="31"/>
  <c r="Q19" i="31"/>
  <c r="Q18" i="31"/>
  <c r="Q17" i="31"/>
  <c r="Q16" i="31"/>
  <c r="Q15" i="31"/>
  <c r="Q14" i="31"/>
  <c r="Q45" i="31"/>
  <c r="Q32" i="31"/>
  <c r="Q31" i="31"/>
  <c r="Q30" i="31"/>
  <c r="Q29" i="31"/>
  <c r="Q28" i="31"/>
  <c r="Q27" i="31"/>
  <c r="Q61" i="31" s="1"/>
  <c r="Q62" i="31" s="1"/>
  <c r="Q26" i="31"/>
  <c r="Q25" i="31"/>
  <c r="Q24" i="31"/>
  <c r="Q23" i="31"/>
  <c r="P88" i="40"/>
  <c r="P44" i="40"/>
  <c r="P115" i="40" s="1"/>
  <c r="P24" i="40"/>
  <c r="P110" i="40" s="1"/>
  <c r="P112" i="40" s="1"/>
  <c r="P19" i="36"/>
  <c r="P59" i="36" s="1"/>
  <c r="T60" i="36" s="1"/>
  <c r="P34" i="13"/>
  <c r="P27" i="13"/>
  <c r="P27" i="37" s="1"/>
  <c r="P18" i="13"/>
  <c r="P15" i="37" s="1"/>
  <c r="P46" i="13"/>
  <c r="P10" i="13"/>
  <c r="P13" i="35" s="1"/>
  <c r="O104" i="40"/>
  <c r="O105" i="40" s="1"/>
  <c r="O49" i="41"/>
  <c r="O33" i="41"/>
  <c r="I72" i="18"/>
  <c r="I92" i="18" s="1"/>
  <c r="I44" i="18"/>
  <c r="I115" i="18" s="1"/>
  <c r="I85" i="18"/>
  <c r="I24" i="18"/>
  <c r="M20" i="41"/>
  <c r="M16" i="41"/>
  <c r="M9" i="41"/>
  <c r="O43" i="41"/>
  <c r="O109" i="41" s="1"/>
  <c r="L26" i="41"/>
  <c r="M17" i="41"/>
  <c r="M11" i="41"/>
  <c r="I62" i="27"/>
  <c r="R69" i="39"/>
  <c r="V69" i="39"/>
  <c r="J62" i="6"/>
  <c r="I42" i="2"/>
  <c r="P79" i="12"/>
  <c r="T80" i="12" s="1"/>
  <c r="P75" i="12"/>
  <c r="T76" i="12" s="1"/>
  <c r="Q63" i="12"/>
  <c r="U64" i="12" s="1"/>
  <c r="Q65" i="12"/>
  <c r="U66" i="12" s="1"/>
  <c r="Q19" i="34"/>
  <c r="P17" i="13"/>
  <c r="P13" i="37" s="1"/>
  <c r="P8" i="13"/>
  <c r="P9" i="35" s="1"/>
  <c r="J84" i="4"/>
  <c r="O85" i="40"/>
  <c r="R72" i="40"/>
  <c r="R91" i="40" s="1"/>
  <c r="N72" i="40"/>
  <c r="N90" i="40" s="1"/>
  <c r="R24" i="40"/>
  <c r="R110" i="40" s="1"/>
  <c r="R112" i="40" s="1"/>
  <c r="J16" i="17"/>
  <c r="Q63" i="30"/>
  <c r="K33" i="17"/>
  <c r="K84" i="17" s="1"/>
  <c r="I92" i="11"/>
  <c r="I95" i="11" s="1"/>
  <c r="I62" i="6"/>
  <c r="I54" i="2"/>
  <c r="I36" i="2"/>
  <c r="O79" i="12"/>
  <c r="S80" i="12" s="1"/>
  <c r="O75" i="12"/>
  <c r="S76" i="12" s="1"/>
  <c r="P65" i="12"/>
  <c r="T66" i="12" s="1"/>
  <c r="P63" i="12"/>
  <c r="T64" i="12" s="1"/>
  <c r="P19" i="34"/>
  <c r="I108" i="18"/>
  <c r="O112" i="40"/>
  <c r="J24" i="11"/>
  <c r="J31" i="2"/>
  <c r="J7" i="8"/>
  <c r="R25" i="12"/>
  <c r="R75" i="12"/>
  <c r="R79" i="12"/>
  <c r="N75" i="12"/>
  <c r="N79" i="12"/>
  <c r="O63" i="12"/>
  <c r="S64" i="12" s="1"/>
  <c r="O65" i="12"/>
  <c r="S66" i="12" s="1"/>
  <c r="O19" i="34"/>
  <c r="K16" i="17"/>
  <c r="I24" i="11"/>
  <c r="I87" i="18" s="1"/>
  <c r="I83" i="8"/>
  <c r="I84" i="8"/>
  <c r="I81" i="8"/>
  <c r="I85" i="8"/>
  <c r="I82" i="8"/>
  <c r="Q79" i="12"/>
  <c r="U80" i="12" s="1"/>
  <c r="Q75" i="12"/>
  <c r="U76" i="12" s="1"/>
  <c r="R14" i="12"/>
  <c r="R63" i="12"/>
  <c r="R65" i="12"/>
  <c r="N63" i="12"/>
  <c r="N65" i="12"/>
  <c r="N19" i="34"/>
  <c r="P54" i="35"/>
  <c r="T55" i="35" s="1"/>
  <c r="P85" i="40"/>
  <c r="R63" i="30"/>
  <c r="N63" i="30"/>
  <c r="Q104" i="40"/>
  <c r="Q24" i="40"/>
  <c r="Q34" i="40" s="1"/>
  <c r="Q99" i="40" s="1"/>
  <c r="R53" i="39"/>
  <c r="V53" i="39"/>
  <c r="R59" i="39"/>
  <c r="V59" i="39"/>
  <c r="R51" i="39"/>
  <c r="V51" i="39"/>
  <c r="R57" i="39"/>
  <c r="V57" i="39"/>
  <c r="R55" i="39"/>
  <c r="V55" i="39"/>
  <c r="K88" i="17"/>
  <c r="I57" i="11"/>
  <c r="I61" i="11"/>
  <c r="I59" i="11"/>
  <c r="K85" i="17"/>
  <c r="K110" i="17"/>
  <c r="K89" i="17"/>
  <c r="K35" i="17"/>
  <c r="J88" i="17"/>
  <c r="K255" i="17"/>
  <c r="K256" i="17" s="1"/>
  <c r="J57" i="11"/>
  <c r="K58" i="11" s="1"/>
  <c r="J59" i="11"/>
  <c r="K60" i="11" s="1"/>
  <c r="J61" i="11"/>
  <c r="K62" i="11" s="1"/>
  <c r="P85" i="35"/>
  <c r="P90" i="35" s="1"/>
  <c r="Q42" i="13"/>
  <c r="Q9" i="13"/>
  <c r="Q18" i="13"/>
  <c r="Q15" i="37" s="1"/>
  <c r="Q16" i="13"/>
  <c r="Q11" i="37" s="1"/>
  <c r="Q10" i="13"/>
  <c r="Q13" i="35" s="1"/>
  <c r="R31" i="13"/>
  <c r="R9" i="13"/>
  <c r="N8" i="13"/>
  <c r="N9" i="35" s="1"/>
  <c r="N9" i="13"/>
  <c r="Q27" i="13"/>
  <c r="O60" i="31" s="1"/>
  <c r="Q19" i="13"/>
  <c r="Q17" i="13"/>
  <c r="Q13" i="37" s="1"/>
  <c r="Q11" i="13"/>
  <c r="Q15" i="35" s="1"/>
  <c r="Q8" i="13"/>
  <c r="P21" i="13"/>
  <c r="P21" i="37" s="1"/>
  <c r="P9" i="13"/>
  <c r="O10" i="13"/>
  <c r="O13" i="35" s="1"/>
  <c r="O9" i="13"/>
  <c r="S31" i="36"/>
  <c r="S40" i="36" s="1"/>
  <c r="Q26" i="12"/>
  <c r="U66" i="36"/>
  <c r="S62" i="36"/>
  <c r="U18" i="36"/>
  <c r="T16" i="36"/>
  <c r="N73" i="39"/>
  <c r="U53" i="36"/>
  <c r="J10" i="2"/>
  <c r="J9" i="2"/>
  <c r="I8" i="2"/>
  <c r="I67" i="2" s="1"/>
  <c r="I9" i="2"/>
  <c r="J69" i="11"/>
  <c r="K70" i="11" s="1"/>
  <c r="J54" i="11"/>
  <c r="J77" i="11"/>
  <c r="K78" i="11" s="1"/>
  <c r="J92" i="11"/>
  <c r="J95" i="11" s="1"/>
  <c r="O16" i="13"/>
  <c r="O11" i="37" s="1"/>
  <c r="R36" i="13"/>
  <c r="R18" i="13"/>
  <c r="R15" i="37" s="1"/>
  <c r="N41" i="13"/>
  <c r="N34" i="13"/>
  <c r="N31" i="13"/>
  <c r="R23" i="13"/>
  <c r="R25" i="37" s="1"/>
  <c r="R19" i="13"/>
  <c r="R8" i="13"/>
  <c r="R9" i="35" s="1"/>
  <c r="Q54" i="13"/>
  <c r="N35" i="13"/>
  <c r="R27" i="13"/>
  <c r="R16" i="13"/>
  <c r="N16" i="13"/>
  <c r="N11" i="37" s="1"/>
  <c r="N51" i="37" s="1"/>
  <c r="R10" i="13"/>
  <c r="N42" i="13"/>
  <c r="R39" i="13"/>
  <c r="R91" i="13" s="1"/>
  <c r="N33" i="13"/>
  <c r="N22" i="13"/>
  <c r="N23" i="37" s="1"/>
  <c r="N63" i="37" s="1"/>
  <c r="R17" i="13"/>
  <c r="R13" i="37" s="1"/>
  <c r="R11" i="13"/>
  <c r="R15" i="35" s="1"/>
  <c r="N67" i="13"/>
  <c r="N23" i="13"/>
  <c r="N25" i="37" s="1"/>
  <c r="N65" i="37" s="1"/>
  <c r="R21" i="13"/>
  <c r="R21" i="37" s="1"/>
  <c r="R15" i="13"/>
  <c r="R9" i="37" s="1"/>
  <c r="Q77" i="13"/>
  <c r="U78" i="13" s="1"/>
  <c r="N44" i="13"/>
  <c r="R40" i="13"/>
  <c r="N39" i="13"/>
  <c r="N91" i="13" s="1"/>
  <c r="R34" i="13"/>
  <c r="R32" i="13"/>
  <c r="R46" i="13"/>
  <c r="N46" i="13"/>
  <c r="R42" i="13"/>
  <c r="Q41" i="13"/>
  <c r="R38" i="13"/>
  <c r="R90" i="13" s="1"/>
  <c r="N36" i="13"/>
  <c r="Q33" i="13"/>
  <c r="N32" i="13"/>
  <c r="R29" i="13"/>
  <c r="R29" i="37" s="1"/>
  <c r="R22" i="13"/>
  <c r="R23" i="37" s="1"/>
  <c r="P77" i="13"/>
  <c r="T78" i="13" s="1"/>
  <c r="Q15" i="13"/>
  <c r="R41" i="13"/>
  <c r="R33" i="13"/>
  <c r="Q46" i="13"/>
  <c r="R44" i="13"/>
  <c r="N40" i="13"/>
  <c r="N38" i="13"/>
  <c r="N90" i="13" s="1"/>
  <c r="R35" i="13"/>
  <c r="N29" i="13"/>
  <c r="N29" i="37" s="1"/>
  <c r="N69" i="37" s="1"/>
  <c r="N27" i="13"/>
  <c r="N21" i="13"/>
  <c r="N19" i="13"/>
  <c r="N17" i="37" s="1"/>
  <c r="N57" i="37" s="1"/>
  <c r="N18" i="13"/>
  <c r="N15" i="37" s="1"/>
  <c r="N55" i="37" s="1"/>
  <c r="N17" i="13"/>
  <c r="N13" i="37" s="1"/>
  <c r="N53" i="37" s="1"/>
  <c r="N15" i="13"/>
  <c r="N9" i="37" s="1"/>
  <c r="N49" i="37" s="1"/>
  <c r="N11" i="13"/>
  <c r="N15" i="35" s="1"/>
  <c r="N10" i="13"/>
  <c r="N13" i="35" s="1"/>
  <c r="T65" i="36"/>
  <c r="T66" i="36" s="1"/>
  <c r="S59" i="36"/>
  <c r="S60" i="36" s="1"/>
  <c r="S30" i="36"/>
  <c r="S26" i="36"/>
  <c r="S20" i="36"/>
  <c r="R50" i="36"/>
  <c r="T64" i="36"/>
  <c r="S51" i="36"/>
  <c r="N26" i="12"/>
  <c r="S64" i="36"/>
  <c r="U28" i="36"/>
  <c r="U22" i="36"/>
  <c r="U31" i="36"/>
  <c r="U10" i="36"/>
  <c r="P31" i="36"/>
  <c r="P37" i="36" s="1"/>
  <c r="T56" i="36"/>
  <c r="P11" i="37"/>
  <c r="R68" i="36"/>
  <c r="S58" i="36"/>
  <c r="U56" i="36"/>
  <c r="T54" i="36"/>
  <c r="U30" i="36"/>
  <c r="U62" i="36"/>
  <c r="N19" i="36"/>
  <c r="N31" i="36" s="1"/>
  <c r="U58" i="36"/>
  <c r="T31" i="36"/>
  <c r="T71" i="36" s="1"/>
  <c r="U63" i="36"/>
  <c r="R59" i="36"/>
  <c r="R31" i="36"/>
  <c r="R44" i="36" s="1"/>
  <c r="T30" i="36"/>
  <c r="T22" i="36"/>
  <c r="S16" i="36"/>
  <c r="U12" i="36"/>
  <c r="O67" i="36"/>
  <c r="S68" i="36" s="1"/>
  <c r="T49" i="36"/>
  <c r="P49" i="36"/>
  <c r="T12" i="36"/>
  <c r="R65" i="36"/>
  <c r="R66" i="36" s="1"/>
  <c r="U51" i="36"/>
  <c r="O31" i="36"/>
  <c r="J29" i="26"/>
  <c r="K30" i="26" s="1"/>
  <c r="J40" i="2"/>
  <c r="J19" i="2"/>
  <c r="Z44" i="17"/>
  <c r="J44" i="17"/>
  <c r="J90" i="17" s="1"/>
  <c r="J183" i="6"/>
  <c r="J123" i="6"/>
  <c r="J112" i="6" s="1"/>
  <c r="J113" i="6" s="1"/>
  <c r="J65" i="6"/>
  <c r="AA44" i="17"/>
  <c r="K44" i="17"/>
  <c r="K46" i="17" s="1"/>
  <c r="J109" i="6"/>
  <c r="N85" i="35"/>
  <c r="O80" i="35"/>
  <c r="O81" i="35"/>
  <c r="O82" i="35"/>
  <c r="O83" i="35"/>
  <c r="O84" i="35"/>
  <c r="S52" i="36"/>
  <c r="R30" i="36"/>
  <c r="T28" i="36"/>
  <c r="R22" i="36"/>
  <c r="T18" i="36"/>
  <c r="R12" i="36"/>
  <c r="T10" i="36"/>
  <c r="I54" i="11"/>
  <c r="I65" i="11"/>
  <c r="I69" i="11"/>
  <c r="I77" i="11"/>
  <c r="O26" i="12"/>
  <c r="O81" i="12" s="1"/>
  <c r="Q85" i="35"/>
  <c r="Q89" i="35" s="1"/>
  <c r="K304" i="17"/>
  <c r="K168" i="17"/>
  <c r="U68" i="36"/>
  <c r="I75" i="18"/>
  <c r="I79" i="18"/>
  <c r="Z57" i="17"/>
  <c r="I9" i="4"/>
  <c r="I8" i="4"/>
  <c r="I18" i="4"/>
  <c r="I21" i="4"/>
  <c r="I102" i="4" s="1"/>
  <c r="I28" i="4"/>
  <c r="I31" i="4"/>
  <c r="I38" i="4"/>
  <c r="I245" i="6" s="1"/>
  <c r="I41" i="4"/>
  <c r="I45" i="4"/>
  <c r="I51" i="4"/>
  <c r="I56" i="4"/>
  <c r="I60" i="4"/>
  <c r="I63" i="4"/>
  <c r="I257" i="6" s="1"/>
  <c r="I12" i="4"/>
  <c r="I16" i="4"/>
  <c r="I232" i="6" s="1"/>
  <c r="I19" i="4"/>
  <c r="I26" i="4"/>
  <c r="I29" i="4"/>
  <c r="I83" i="4" s="1"/>
  <c r="I36" i="4"/>
  <c r="I39" i="4"/>
  <c r="I48" i="4"/>
  <c r="I54" i="4"/>
  <c r="I103" i="4" s="1"/>
  <c r="I61" i="4"/>
  <c r="O90" i="40"/>
  <c r="O91" i="40"/>
  <c r="L10" i="41"/>
  <c r="L19" i="41"/>
  <c r="L32" i="41"/>
  <c r="L39" i="41"/>
  <c r="L46" i="41"/>
  <c r="L52" i="41"/>
  <c r="L59" i="41"/>
  <c r="L124" i="41"/>
  <c r="L15" i="41"/>
  <c r="L28" i="41"/>
  <c r="L35" i="41"/>
  <c r="L56" i="41"/>
  <c r="L63" i="41"/>
  <c r="L30" i="41"/>
  <c r="L54" i="41"/>
  <c r="L103" i="41" s="1"/>
  <c r="L104" i="41" s="1"/>
  <c r="L48" i="41"/>
  <c r="T40" i="30"/>
  <c r="T56" i="30"/>
  <c r="T58" i="30" s="1"/>
  <c r="P40" i="30"/>
  <c r="P56" i="30"/>
  <c r="P58" i="30" s="1"/>
  <c r="P45" i="31"/>
  <c r="P9" i="31"/>
  <c r="P11" i="31"/>
  <c r="P14" i="31"/>
  <c r="P16" i="31"/>
  <c r="P18" i="31"/>
  <c r="P20" i="31"/>
  <c r="P24" i="31"/>
  <c r="P26" i="31"/>
  <c r="P28" i="31"/>
  <c r="P30" i="31"/>
  <c r="P32" i="31"/>
  <c r="P35" i="31"/>
  <c r="P10" i="31"/>
  <c r="P19" i="31"/>
  <c r="P27" i="31"/>
  <c r="P61" i="31" s="1"/>
  <c r="P21" i="31"/>
  <c r="P29" i="31"/>
  <c r="P15" i="31"/>
  <c r="P23" i="31"/>
  <c r="P31" i="31"/>
  <c r="J51" i="11"/>
  <c r="J14" i="11"/>
  <c r="AA49" i="17"/>
  <c r="J114" i="18"/>
  <c r="J86" i="18"/>
  <c r="J8" i="2"/>
  <c r="J15" i="2"/>
  <c r="J9" i="26" s="1"/>
  <c r="K10" i="26" s="1"/>
  <c r="J22" i="2"/>
  <c r="J23" i="26" s="1"/>
  <c r="K24" i="26" s="1"/>
  <c r="J32" i="2"/>
  <c r="J38" i="2"/>
  <c r="J90" i="2" s="1"/>
  <c r="J42" i="2"/>
  <c r="J16" i="2"/>
  <c r="J23" i="2"/>
  <c r="J25" i="26" s="1"/>
  <c r="K26" i="26" s="1"/>
  <c r="J34" i="2"/>
  <c r="J39" i="2"/>
  <c r="J91" i="2" s="1"/>
  <c r="J44" i="2"/>
  <c r="R46" i="30"/>
  <c r="Q49" i="30"/>
  <c r="N46" i="30"/>
  <c r="Q21" i="13"/>
  <c r="Q34" i="13"/>
  <c r="Q35" i="13"/>
  <c r="Q36" i="13"/>
  <c r="Q22" i="13"/>
  <c r="Q23" i="37" s="1"/>
  <c r="Q23" i="13"/>
  <c r="Q25" i="37" s="1"/>
  <c r="Q29" i="13"/>
  <c r="Q38" i="13"/>
  <c r="Q90" i="13" s="1"/>
  <c r="Q39" i="13"/>
  <c r="Q91" i="13" s="1"/>
  <c r="Q44" i="13"/>
  <c r="J119" i="18"/>
  <c r="J85" i="18"/>
  <c r="I62" i="4"/>
  <c r="I50" i="4"/>
  <c r="I30" i="4"/>
  <c r="I25" i="4"/>
  <c r="I11" i="4"/>
  <c r="I234" i="6" s="1"/>
  <c r="Q85" i="40"/>
  <c r="R85" i="40"/>
  <c r="N85" i="40"/>
  <c r="R127" i="40"/>
  <c r="N127" i="40"/>
  <c r="P34" i="40"/>
  <c r="P58" i="40" s="1"/>
  <c r="L41" i="41"/>
  <c r="L17" i="41"/>
  <c r="P124" i="41"/>
  <c r="P14" i="41"/>
  <c r="P15" i="41"/>
  <c r="P16" i="41"/>
  <c r="P17" i="41"/>
  <c r="P18" i="41"/>
  <c r="P19" i="41"/>
  <c r="P20" i="41"/>
  <c r="P21" i="41"/>
  <c r="P102" i="41" s="1"/>
  <c r="P22" i="41"/>
  <c r="P35" i="41"/>
  <c r="P36" i="41"/>
  <c r="P37" i="41"/>
  <c r="P84" i="41" s="1"/>
  <c r="P38" i="41"/>
  <c r="P39" i="41"/>
  <c r="P40" i="41"/>
  <c r="P114" i="41" s="1"/>
  <c r="P41" i="41"/>
  <c r="P42" i="41"/>
  <c r="P45" i="41"/>
  <c r="P46" i="41"/>
  <c r="P47" i="41"/>
  <c r="P48" i="41"/>
  <c r="P50" i="41"/>
  <c r="P51" i="41"/>
  <c r="P52" i="41"/>
  <c r="P53" i="41"/>
  <c r="P54" i="41"/>
  <c r="P103" i="41" s="1"/>
  <c r="P55" i="41"/>
  <c r="P56" i="41"/>
  <c r="P25" i="41"/>
  <c r="P26" i="41"/>
  <c r="P27" i="41"/>
  <c r="P28" i="41"/>
  <c r="P29" i="41"/>
  <c r="P83" i="41" s="1"/>
  <c r="P30" i="41"/>
  <c r="P31" i="41"/>
  <c r="P32" i="41"/>
  <c r="P59" i="41"/>
  <c r="P60" i="41"/>
  <c r="P61" i="41"/>
  <c r="P62" i="41"/>
  <c r="P63" i="41"/>
  <c r="P64" i="41"/>
  <c r="P65" i="41"/>
  <c r="J49" i="19"/>
  <c r="J46" i="19"/>
  <c r="Z49" i="17"/>
  <c r="I86" i="18"/>
  <c r="P26" i="12"/>
  <c r="P81" i="12" s="1"/>
  <c r="P22" i="13"/>
  <c r="P23" i="37" s="1"/>
  <c r="P23" i="13"/>
  <c r="P25" i="37" s="1"/>
  <c r="P29" i="13"/>
  <c r="P29" i="37" s="1"/>
  <c r="P38" i="13"/>
  <c r="P90" i="13" s="1"/>
  <c r="P39" i="13"/>
  <c r="P91" i="13" s="1"/>
  <c r="P44" i="13"/>
  <c r="P15" i="13"/>
  <c r="P31" i="13"/>
  <c r="P32" i="13"/>
  <c r="P40" i="13"/>
  <c r="I119" i="18"/>
  <c r="J109" i="18"/>
  <c r="I53" i="19"/>
  <c r="J44" i="18"/>
  <c r="J115" i="18" s="1"/>
  <c r="I124" i="4"/>
  <c r="I55" i="4"/>
  <c r="I42" i="4"/>
  <c r="I37" i="4"/>
  <c r="I22" i="4"/>
  <c r="I17" i="4"/>
  <c r="I10" i="4"/>
  <c r="I230" i="6" s="1"/>
  <c r="Q109" i="40"/>
  <c r="R90" i="40"/>
  <c r="N13" i="41"/>
  <c r="L50" i="41"/>
  <c r="L37" i="41"/>
  <c r="L84" i="41" s="1"/>
  <c r="J23" i="27"/>
  <c r="J14" i="27"/>
  <c r="J11" i="27"/>
  <c r="J20" i="27"/>
  <c r="J9" i="27"/>
  <c r="J18" i="27"/>
  <c r="J36" i="27"/>
  <c r="Q19" i="36"/>
  <c r="K307" i="17"/>
  <c r="K290" i="17"/>
  <c r="K274" i="17"/>
  <c r="K263" i="17"/>
  <c r="K265" i="17" s="1"/>
  <c r="K266" i="17" s="1"/>
  <c r="J72" i="11"/>
  <c r="J68" i="11"/>
  <c r="J63" i="11"/>
  <c r="J53" i="11"/>
  <c r="J53" i="2"/>
  <c r="J54" i="2"/>
  <c r="J46" i="2"/>
  <c r="J35" i="2"/>
  <c r="J18" i="2"/>
  <c r="J15" i="26" s="1"/>
  <c r="K16" i="26" s="1"/>
  <c r="R26" i="12"/>
  <c r="R81" i="12" s="1"/>
  <c r="P42" i="13"/>
  <c r="P41" i="13"/>
  <c r="Q40" i="13"/>
  <c r="P35" i="13"/>
  <c r="P33" i="13"/>
  <c r="Q32" i="13"/>
  <c r="I114" i="18"/>
  <c r="AA57" i="17"/>
  <c r="J45" i="19"/>
  <c r="J88" i="18"/>
  <c r="I65" i="4"/>
  <c r="I53" i="4"/>
  <c r="I47" i="4"/>
  <c r="I40" i="4"/>
  <c r="I35" i="4"/>
  <c r="I20" i="4"/>
  <c r="I235" i="6" s="1"/>
  <c r="I15" i="4"/>
  <c r="J233" i="6"/>
  <c r="J47" i="4"/>
  <c r="J53" i="4"/>
  <c r="J65" i="4"/>
  <c r="J102" i="4"/>
  <c r="J51" i="4"/>
  <c r="J63" i="4"/>
  <c r="J257" i="6" s="1"/>
  <c r="O127" i="40"/>
  <c r="O92" i="40"/>
  <c r="O88" i="40"/>
  <c r="Q44" i="40"/>
  <c r="Q115" i="40" s="1"/>
  <c r="Q116" i="40"/>
  <c r="Q108" i="40"/>
  <c r="L65" i="41"/>
  <c r="I45" i="19"/>
  <c r="P25" i="31"/>
  <c r="P17" i="31"/>
  <c r="Q46" i="30"/>
  <c r="I104" i="18"/>
  <c r="I105" i="18" s="1"/>
  <c r="J72" i="18"/>
  <c r="J48" i="19" s="1"/>
  <c r="J53" i="19"/>
  <c r="O115" i="40"/>
  <c r="I12" i="27"/>
  <c r="I13" i="27" s="1"/>
  <c r="I40" i="27" s="1"/>
  <c r="N44" i="30"/>
  <c r="N56" i="30"/>
  <c r="N58" i="30" s="1"/>
  <c r="N49" i="30"/>
  <c r="J51" i="2"/>
  <c r="P46" i="30"/>
  <c r="J24" i="18"/>
  <c r="J34" i="18" s="1"/>
  <c r="R104" i="40"/>
  <c r="R105" i="40" s="1"/>
  <c r="N104" i="40"/>
  <c r="M82" i="41"/>
  <c r="R49" i="30"/>
  <c r="R56" i="30"/>
  <c r="R58" i="30" s="1"/>
  <c r="R40" i="30"/>
  <c r="Q40" i="30"/>
  <c r="Q44" i="30"/>
  <c r="I63" i="19"/>
  <c r="J35" i="19"/>
  <c r="J38" i="19" s="1"/>
  <c r="K37" i="19" s="1"/>
  <c r="K38" i="19" s="1"/>
  <c r="I57" i="27"/>
  <c r="Q58" i="30"/>
  <c r="J40" i="19"/>
  <c r="T63" i="30"/>
  <c r="P63" i="30"/>
  <c r="S63" i="30"/>
  <c r="O63" i="30"/>
  <c r="R35" i="30"/>
  <c r="R38" i="30" s="1"/>
  <c r="N38" i="30"/>
  <c r="Q35" i="30"/>
  <c r="Q38" i="30" s="1"/>
  <c r="S32" i="31"/>
  <c r="O32" i="31"/>
  <c r="S30" i="31"/>
  <c r="O30" i="31"/>
  <c r="S28" i="31"/>
  <c r="O28" i="31"/>
  <c r="S26" i="31"/>
  <c r="O26" i="31"/>
  <c r="S24" i="31"/>
  <c r="O24" i="31"/>
  <c r="S20" i="31"/>
  <c r="O20" i="31"/>
  <c r="S18" i="31"/>
  <c r="O18" i="31"/>
  <c r="S16" i="31"/>
  <c r="O16" i="31"/>
  <c r="S14" i="31"/>
  <c r="O14" i="31"/>
  <c r="S11" i="31"/>
  <c r="O11" i="31"/>
  <c r="O9" i="31"/>
  <c r="R54" i="13"/>
  <c r="N54" i="13"/>
  <c r="P54" i="13"/>
  <c r="R53" i="13"/>
  <c r="O54" i="13"/>
  <c r="O71" i="13"/>
  <c r="S72" i="13" s="1"/>
  <c r="O17" i="13"/>
  <c r="O13" i="37" s="1"/>
  <c r="S14" i="37" s="1"/>
  <c r="O8" i="13"/>
  <c r="O9" i="35" s="1"/>
  <c r="L14" i="41"/>
  <c r="L9" i="41"/>
  <c r="O39" i="13"/>
  <c r="O91" i="13" s="1"/>
  <c r="O36" i="13"/>
  <c r="O32" i="13"/>
  <c r="O29" i="13"/>
  <c r="O29" i="37" s="1"/>
  <c r="S30" i="37" s="1"/>
  <c r="O19" i="13"/>
  <c r="O17" i="37" s="1"/>
  <c r="S18" i="37" s="1"/>
  <c r="O15" i="13"/>
  <c r="O11" i="13"/>
  <c r="O15" i="35" s="1"/>
  <c r="L22" i="41"/>
  <c r="L20" i="41"/>
  <c r="L18" i="41"/>
  <c r="L16" i="41"/>
  <c r="L11" i="41"/>
  <c r="L8" i="41"/>
  <c r="O42" i="13"/>
  <c r="O38" i="13"/>
  <c r="O90" i="13" s="1"/>
  <c r="O35" i="13"/>
  <c r="O31" i="13"/>
  <c r="O27" i="13"/>
  <c r="O23" i="13"/>
  <c r="O25" i="37" s="1"/>
  <c r="S26" i="37" s="1"/>
  <c r="O18" i="13"/>
  <c r="O15" i="37" s="1"/>
  <c r="S16" i="37" s="1"/>
  <c r="L64" i="41"/>
  <c r="L62" i="41"/>
  <c r="L60" i="41"/>
  <c r="L55" i="41"/>
  <c r="L53" i="41"/>
  <c r="L51" i="41"/>
  <c r="L47" i="41"/>
  <c r="L45" i="41"/>
  <c r="L42" i="41"/>
  <c r="L40" i="41"/>
  <c r="L114" i="41" s="1"/>
  <c r="L38" i="41"/>
  <c r="L36" i="41"/>
  <c r="L31" i="41"/>
  <c r="L29" i="41"/>
  <c r="L83" i="41" s="1"/>
  <c r="L27" i="41"/>
  <c r="L25" i="41"/>
  <c r="I34" i="27"/>
  <c r="J32" i="27"/>
  <c r="J30" i="27"/>
  <c r="J28" i="27"/>
  <c r="J26" i="27"/>
  <c r="J24" i="27"/>
  <c r="J21" i="27"/>
  <c r="J19" i="27"/>
  <c r="J17" i="27"/>
  <c r="J15" i="27"/>
  <c r="J10" i="27"/>
  <c r="J8" i="27"/>
  <c r="I46" i="2"/>
  <c r="J41" i="2"/>
  <c r="J36" i="2"/>
  <c r="J33" i="2"/>
  <c r="J27" i="2"/>
  <c r="J27" i="26" s="1"/>
  <c r="K28" i="26" s="1"/>
  <c r="J21" i="2"/>
  <c r="J17" i="2"/>
  <c r="J13" i="26" s="1"/>
  <c r="K14" i="26" s="1"/>
  <c r="J11" i="2"/>
  <c r="J33" i="27"/>
  <c r="J31" i="27"/>
  <c r="J29" i="27"/>
  <c r="J27" i="27"/>
  <c r="J25" i="27"/>
  <c r="I22" i="27"/>
  <c r="I22" i="2"/>
  <c r="I23" i="26" s="1"/>
  <c r="I16" i="2"/>
  <c r="I44" i="2"/>
  <c r="I38" i="2"/>
  <c r="I90" i="2" s="1"/>
  <c r="I46" i="27" s="1"/>
  <c r="I32" i="2"/>
  <c r="I18" i="2"/>
  <c r="I15" i="26" s="1"/>
  <c r="I10" i="2"/>
  <c r="I40" i="2"/>
  <c r="I34" i="2"/>
  <c r="S40" i="30"/>
  <c r="S56" i="30"/>
  <c r="S58" i="30" s="1"/>
  <c r="S35" i="30"/>
  <c r="S38" i="30" s="1"/>
  <c r="S44" i="30"/>
  <c r="S49" i="30"/>
  <c r="O40" i="30"/>
  <c r="O56" i="30"/>
  <c r="O58" i="30" s="1"/>
  <c r="O38" i="30"/>
  <c r="O44" i="30"/>
  <c r="O49" i="30"/>
  <c r="T49" i="30"/>
  <c r="P49" i="30"/>
  <c r="T44" i="30"/>
  <c r="P44" i="30"/>
  <c r="T35" i="30"/>
  <c r="T38" i="30" s="1"/>
  <c r="P35" i="30"/>
  <c r="P38" i="30" s="1"/>
  <c r="I35" i="19"/>
  <c r="I38" i="19" s="1"/>
  <c r="I44" i="19"/>
  <c r="I56" i="19"/>
  <c r="I58" i="19" s="1"/>
  <c r="I40" i="19"/>
  <c r="I49" i="19"/>
  <c r="J56" i="19"/>
  <c r="J58" i="19" s="1"/>
  <c r="J44" i="19"/>
  <c r="M14" i="41"/>
  <c r="M12" i="41"/>
  <c r="M10" i="41"/>
  <c r="N105" i="40"/>
  <c r="J124" i="4"/>
  <c r="J64" i="4"/>
  <c r="J62" i="4"/>
  <c r="J60" i="4"/>
  <c r="J56" i="4"/>
  <c r="J54" i="4"/>
  <c r="J103" i="4" s="1"/>
  <c r="J52" i="4"/>
  <c r="J50" i="4"/>
  <c r="J48" i="4"/>
  <c r="J246" i="6"/>
  <c r="J245" i="6"/>
  <c r="J240" i="6"/>
  <c r="J235" i="6"/>
  <c r="J232" i="6"/>
  <c r="K284" i="17"/>
  <c r="K278" i="17"/>
  <c r="I88" i="18"/>
  <c r="J116" i="18"/>
  <c r="J108" i="18"/>
  <c r="I41" i="2"/>
  <c r="I39" i="2"/>
  <c r="I91" i="2" s="1"/>
  <c r="I35" i="2"/>
  <c r="I33" i="2"/>
  <c r="I31" i="2"/>
  <c r="I29" i="26"/>
  <c r="I27" i="2"/>
  <c r="I23" i="2"/>
  <c r="I25" i="26" s="1"/>
  <c r="I21" i="2"/>
  <c r="I19" i="2"/>
  <c r="I17" i="2"/>
  <c r="I15" i="2"/>
  <c r="I9" i="26" s="1"/>
  <c r="I11" i="2"/>
  <c r="I15" i="8" s="1"/>
  <c r="K243" i="17"/>
  <c r="K207" i="17"/>
  <c r="K217" i="17" s="1"/>
  <c r="K175" i="17"/>
  <c r="K171" i="17"/>
  <c r="K150" i="17"/>
  <c r="K174" i="17"/>
  <c r="K170" i="17"/>
  <c r="K173" i="17"/>
  <c r="K169" i="17"/>
  <c r="I78" i="39"/>
  <c r="H78" i="39"/>
  <c r="G78" i="39"/>
  <c r="F78" i="39"/>
  <c r="I76" i="39"/>
  <c r="H76" i="39"/>
  <c r="G76" i="39"/>
  <c r="F76" i="39"/>
  <c r="U64" i="36" l="1"/>
  <c r="U54" i="36"/>
  <c r="U52" i="36"/>
  <c r="U41" i="36"/>
  <c r="U50" i="36"/>
  <c r="K313" i="17"/>
  <c r="M104" i="41"/>
  <c r="J70" i="11"/>
  <c r="S39" i="36"/>
  <c r="J12" i="27"/>
  <c r="J13" i="27" s="1"/>
  <c r="J44" i="27" s="1"/>
  <c r="J64" i="11"/>
  <c r="K64" i="11"/>
  <c r="P69" i="37"/>
  <c r="T70" i="37" s="1"/>
  <c r="T30" i="37"/>
  <c r="P63" i="37"/>
  <c r="T64" i="37" s="1"/>
  <c r="T24" i="37"/>
  <c r="Q63" i="37"/>
  <c r="U64" i="37" s="1"/>
  <c r="U24" i="37"/>
  <c r="P51" i="37"/>
  <c r="T52" i="37" s="1"/>
  <c r="T12" i="37"/>
  <c r="R30" i="37"/>
  <c r="R69" i="37"/>
  <c r="R70" i="37" s="1"/>
  <c r="R61" i="37"/>
  <c r="R14" i="37"/>
  <c r="R53" i="37"/>
  <c r="R54" i="37" s="1"/>
  <c r="P60" i="31"/>
  <c r="P62" i="31" s="1"/>
  <c r="R27" i="37"/>
  <c r="P73" i="39"/>
  <c r="R17" i="37"/>
  <c r="Q53" i="37"/>
  <c r="U54" i="37" s="1"/>
  <c r="U14" i="37"/>
  <c r="Q51" i="37"/>
  <c r="U52" i="37" s="1"/>
  <c r="U12" i="37"/>
  <c r="P67" i="37"/>
  <c r="T68" i="37" s="1"/>
  <c r="T28" i="37"/>
  <c r="O61" i="37"/>
  <c r="S62" i="37" s="1"/>
  <c r="S22" i="37"/>
  <c r="O63" i="37"/>
  <c r="S64" i="37" s="1"/>
  <c r="S24" i="37"/>
  <c r="AA55" i="17"/>
  <c r="K105" i="11"/>
  <c r="P65" i="37"/>
  <c r="T66" i="37" s="1"/>
  <c r="T26" i="37"/>
  <c r="I33" i="4"/>
  <c r="Q65" i="37"/>
  <c r="U66" i="37" s="1"/>
  <c r="U26" i="37"/>
  <c r="P45" i="36"/>
  <c r="P46" i="36"/>
  <c r="R24" i="37"/>
  <c r="R63" i="37"/>
  <c r="R64" i="37" s="1"/>
  <c r="R10" i="37"/>
  <c r="R49" i="37"/>
  <c r="R50" i="37" s="1"/>
  <c r="R61" i="35"/>
  <c r="R72" i="35"/>
  <c r="R47" i="35"/>
  <c r="R34" i="35"/>
  <c r="R71" i="13"/>
  <c r="R13" i="35"/>
  <c r="R77" i="13"/>
  <c r="R11" i="37"/>
  <c r="R41" i="35"/>
  <c r="R57" i="35"/>
  <c r="R28" i="35"/>
  <c r="R68" i="35"/>
  <c r="R26" i="37"/>
  <c r="R65" i="37"/>
  <c r="R66" i="37" s="1"/>
  <c r="R16" i="37"/>
  <c r="R55" i="37"/>
  <c r="R56" i="37" s="1"/>
  <c r="O51" i="37"/>
  <c r="S52" i="37" s="1"/>
  <c r="S12" i="37"/>
  <c r="P61" i="37"/>
  <c r="T62" i="37" s="1"/>
  <c r="T22" i="37"/>
  <c r="R59" i="13"/>
  <c r="R11" i="35"/>
  <c r="Q55" i="37"/>
  <c r="U56" i="37" s="1"/>
  <c r="U16" i="37"/>
  <c r="P53" i="37"/>
  <c r="T54" i="37" s="1"/>
  <c r="T14" i="37"/>
  <c r="P55" i="37"/>
  <c r="T56" i="37" s="1"/>
  <c r="T16" i="37"/>
  <c r="P57" i="37"/>
  <c r="T58" i="37" s="1"/>
  <c r="T18" i="37"/>
  <c r="R27" i="34"/>
  <c r="J105" i="18"/>
  <c r="J120" i="18"/>
  <c r="K25" i="11"/>
  <c r="J110" i="18"/>
  <c r="N104" i="41"/>
  <c r="N23" i="41"/>
  <c r="N56" i="31"/>
  <c r="R22" i="31"/>
  <c r="O62" i="31"/>
  <c r="N12" i="31"/>
  <c r="N48" i="31" s="1"/>
  <c r="N33" i="41"/>
  <c r="N108" i="41" s="1"/>
  <c r="Q104" i="41"/>
  <c r="O85" i="41"/>
  <c r="N82" i="41"/>
  <c r="N81" i="41"/>
  <c r="K279" i="17"/>
  <c r="K294" i="17" s="1"/>
  <c r="Q105" i="40"/>
  <c r="M49" i="41"/>
  <c r="M70" i="41"/>
  <c r="M79" i="41" s="1"/>
  <c r="Q92" i="40"/>
  <c r="J56" i="17"/>
  <c r="N69" i="13"/>
  <c r="P67" i="13"/>
  <c r="T68" i="13" s="1"/>
  <c r="P71" i="36"/>
  <c r="T37" i="36"/>
  <c r="P72" i="35"/>
  <c r="P61" i="35"/>
  <c r="P17" i="35"/>
  <c r="P49" i="35" s="1"/>
  <c r="P34" i="35"/>
  <c r="S41" i="36"/>
  <c r="N57" i="41"/>
  <c r="N111" i="41" s="1"/>
  <c r="N49" i="41"/>
  <c r="N33" i="31"/>
  <c r="M57" i="41"/>
  <c r="M111" i="41" s="1"/>
  <c r="M66" i="41"/>
  <c r="M125" i="41" s="1"/>
  <c r="S36" i="36"/>
  <c r="S45" i="36"/>
  <c r="J183" i="17"/>
  <c r="I75" i="11"/>
  <c r="I82" i="11" s="1"/>
  <c r="P98" i="12"/>
  <c r="J91" i="18"/>
  <c r="J75" i="18"/>
  <c r="AA58" i="17" s="1"/>
  <c r="P69" i="13"/>
  <c r="T70" i="13" s="1"/>
  <c r="P12" i="13"/>
  <c r="N92" i="40"/>
  <c r="P38" i="36"/>
  <c r="P36" i="36"/>
  <c r="S46" i="36"/>
  <c r="S44" i="36"/>
  <c r="T20" i="36"/>
  <c r="Q127" i="40"/>
  <c r="P32" i="35"/>
  <c r="P70" i="35"/>
  <c r="R33" i="31"/>
  <c r="J92" i="18"/>
  <c r="P71" i="13"/>
  <c r="T72" i="13" s="1"/>
  <c r="S32" i="36"/>
  <c r="S33" i="36"/>
  <c r="S73" i="36" s="1"/>
  <c r="S43" i="36"/>
  <c r="S71" i="36"/>
  <c r="P59" i="35"/>
  <c r="N70" i="41"/>
  <c r="N79" i="41" s="1"/>
  <c r="N43" i="41"/>
  <c r="N117" i="41" s="1"/>
  <c r="Q81" i="41"/>
  <c r="J127" i="18"/>
  <c r="I44" i="27"/>
  <c r="I248" i="6"/>
  <c r="N91" i="40"/>
  <c r="P41" i="36"/>
  <c r="I120" i="18"/>
  <c r="P42" i="36"/>
  <c r="T32" i="36"/>
  <c r="P40" i="36"/>
  <c r="P39" i="36"/>
  <c r="Q91" i="40"/>
  <c r="P45" i="35"/>
  <c r="N22" i="31"/>
  <c r="O72" i="41"/>
  <c r="O92" i="41" s="1"/>
  <c r="N66" i="41"/>
  <c r="M118" i="41"/>
  <c r="M88" i="41"/>
  <c r="I106" i="18"/>
  <c r="R99" i="41"/>
  <c r="R58" i="41"/>
  <c r="S38" i="36"/>
  <c r="S37" i="36"/>
  <c r="S42" i="36"/>
  <c r="S12" i="31"/>
  <c r="S48" i="31" s="1"/>
  <c r="R13" i="31"/>
  <c r="R55" i="31" s="1"/>
  <c r="R57" i="31" s="1"/>
  <c r="R63" i="31" s="1"/>
  <c r="R48" i="31"/>
  <c r="S33" i="31"/>
  <c r="K56" i="17"/>
  <c r="J64" i="19"/>
  <c r="AA60" i="17" s="1"/>
  <c r="I50" i="19"/>
  <c r="R34" i="40"/>
  <c r="R58" i="40" s="1"/>
  <c r="U40" i="36"/>
  <c r="O94" i="13"/>
  <c r="I91" i="18"/>
  <c r="J66" i="11"/>
  <c r="I127" i="18"/>
  <c r="M71" i="41"/>
  <c r="M72" i="41" s="1"/>
  <c r="M127" i="41" s="1"/>
  <c r="I48" i="19"/>
  <c r="O125" i="41"/>
  <c r="R39" i="36"/>
  <c r="P44" i="36"/>
  <c r="Q71" i="41"/>
  <c r="Q49" i="41"/>
  <c r="R92" i="40"/>
  <c r="Q71" i="13"/>
  <c r="U72" i="13" s="1"/>
  <c r="Q12" i="13"/>
  <c r="Q66" i="41"/>
  <c r="Q123" i="41" s="1"/>
  <c r="Q126" i="41" s="1"/>
  <c r="Q57" i="41"/>
  <c r="Q111" i="41" s="1"/>
  <c r="Q118" i="41"/>
  <c r="Q43" i="41"/>
  <c r="Q109" i="41" s="1"/>
  <c r="J112" i="18"/>
  <c r="Q23" i="41"/>
  <c r="Q24" i="41" s="1"/>
  <c r="Q110" i="41" s="1"/>
  <c r="Q33" i="41"/>
  <c r="J75" i="11"/>
  <c r="K76" i="11" s="1"/>
  <c r="J26" i="11"/>
  <c r="J25" i="11"/>
  <c r="J79" i="11"/>
  <c r="K80" i="11" s="1"/>
  <c r="J87" i="18"/>
  <c r="O34" i="41"/>
  <c r="O58" i="41" s="1"/>
  <c r="O110" i="41"/>
  <c r="O105" i="41"/>
  <c r="O91" i="41"/>
  <c r="O127" i="41"/>
  <c r="N24" i="41"/>
  <c r="N110" i="41" s="1"/>
  <c r="N60" i="31"/>
  <c r="N62" i="31" s="1"/>
  <c r="I26" i="11"/>
  <c r="I35" i="27"/>
  <c r="T40" i="36"/>
  <c r="P93" i="13"/>
  <c r="P90" i="40"/>
  <c r="P127" i="40"/>
  <c r="P91" i="40"/>
  <c r="O79" i="41"/>
  <c r="I79" i="11"/>
  <c r="M23" i="41"/>
  <c r="M33" i="41"/>
  <c r="M108" i="41" s="1"/>
  <c r="O77" i="13"/>
  <c r="S78" i="13" s="1"/>
  <c r="N13" i="31"/>
  <c r="N42" i="31" s="1"/>
  <c r="M43" i="41"/>
  <c r="M109" i="41" s="1"/>
  <c r="R38" i="36"/>
  <c r="R93" i="13"/>
  <c r="M81" i="41"/>
  <c r="M85" i="41" s="1"/>
  <c r="Q12" i="31"/>
  <c r="Q48" i="31" s="1"/>
  <c r="Q82" i="41"/>
  <c r="Q70" i="41"/>
  <c r="P105" i="40"/>
  <c r="O116" i="41"/>
  <c r="O108" i="41"/>
  <c r="J58" i="11"/>
  <c r="O44" i="41"/>
  <c r="O115" i="41" s="1"/>
  <c r="Q33" i="31"/>
  <c r="P43" i="36"/>
  <c r="O90" i="41"/>
  <c r="P33" i="36"/>
  <c r="P73" i="36" s="1"/>
  <c r="Q13" i="13"/>
  <c r="P91" i="35"/>
  <c r="P87" i="35"/>
  <c r="P57" i="13"/>
  <c r="T58" i="13" s="1"/>
  <c r="P13" i="13"/>
  <c r="P89" i="35"/>
  <c r="Q22" i="31"/>
  <c r="Q56" i="31"/>
  <c r="J258" i="6"/>
  <c r="P57" i="41"/>
  <c r="P111" i="41" s="1"/>
  <c r="P49" i="41"/>
  <c r="P33" i="31"/>
  <c r="P66" i="41"/>
  <c r="P23" i="41"/>
  <c r="P24" i="41" s="1"/>
  <c r="P110" i="41" s="1"/>
  <c r="P104" i="41"/>
  <c r="P12" i="31"/>
  <c r="P13" i="31" s="1"/>
  <c r="I34" i="18"/>
  <c r="I110" i="18"/>
  <c r="I112" i="18" s="1"/>
  <c r="P41" i="35"/>
  <c r="P28" i="35"/>
  <c r="J236" i="6"/>
  <c r="N28" i="35"/>
  <c r="N41" i="35"/>
  <c r="O117" i="41"/>
  <c r="O28" i="35"/>
  <c r="O41" i="35"/>
  <c r="I66" i="4"/>
  <c r="I123" i="4" s="1"/>
  <c r="I126" i="4" s="1"/>
  <c r="J104" i="4"/>
  <c r="I239" i="6"/>
  <c r="J247" i="6"/>
  <c r="J252" i="6"/>
  <c r="J242" i="6"/>
  <c r="I236" i="6"/>
  <c r="I256" i="6"/>
  <c r="I62" i="8"/>
  <c r="I73" i="8"/>
  <c r="I48" i="8"/>
  <c r="I89" i="6"/>
  <c r="I35" i="8"/>
  <c r="I21" i="26"/>
  <c r="I94" i="2"/>
  <c r="J66" i="4"/>
  <c r="I71" i="2"/>
  <c r="I13" i="8"/>
  <c r="J67" i="26"/>
  <c r="K68" i="26" s="1"/>
  <c r="J141" i="6"/>
  <c r="O68" i="35"/>
  <c r="O57" i="35"/>
  <c r="J234" i="6"/>
  <c r="J77" i="2"/>
  <c r="K78" i="2" s="1"/>
  <c r="J11" i="26"/>
  <c r="K12" i="26" s="1"/>
  <c r="J63" i="26"/>
  <c r="K64" i="26" s="1"/>
  <c r="J24" i="26"/>
  <c r="I241" i="6"/>
  <c r="I203" i="6"/>
  <c r="J73" i="6"/>
  <c r="J17" i="26"/>
  <c r="K18" i="26" s="1"/>
  <c r="N70" i="35"/>
  <c r="N54" i="35"/>
  <c r="N17" i="35"/>
  <c r="N32" i="35"/>
  <c r="N59" i="35"/>
  <c r="N45" i="35"/>
  <c r="I69" i="2"/>
  <c r="I9" i="8"/>
  <c r="O59" i="13"/>
  <c r="S60" i="13" s="1"/>
  <c r="O11" i="35"/>
  <c r="P59" i="13"/>
  <c r="T60" i="13" s="1"/>
  <c r="P11" i="35"/>
  <c r="N68" i="35"/>
  <c r="N57" i="35"/>
  <c r="P63" i="35"/>
  <c r="R64" i="12"/>
  <c r="I59" i="25"/>
  <c r="J256" i="6"/>
  <c r="N82" i="12"/>
  <c r="J82" i="8"/>
  <c r="J83" i="8"/>
  <c r="J84" i="8"/>
  <c r="J81" i="8"/>
  <c r="J85" i="8"/>
  <c r="J59" i="25"/>
  <c r="K60" i="25" s="1"/>
  <c r="P39" i="34"/>
  <c r="T40" i="34" s="1"/>
  <c r="P66" i="34"/>
  <c r="T67" i="34" s="1"/>
  <c r="P77" i="34"/>
  <c r="T78" i="34" s="1"/>
  <c r="P52" i="34"/>
  <c r="T53" i="34" s="1"/>
  <c r="P22" i="34"/>
  <c r="P25" i="34"/>
  <c r="P23" i="34"/>
  <c r="P24" i="34"/>
  <c r="P26" i="34"/>
  <c r="I55" i="26"/>
  <c r="I77" i="2"/>
  <c r="I11" i="26"/>
  <c r="J12" i="2"/>
  <c r="O17" i="35"/>
  <c r="O72" i="35"/>
  <c r="O34" i="35"/>
  <c r="O61" i="35"/>
  <c r="O47" i="35"/>
  <c r="J248" i="6"/>
  <c r="J249" i="6" s="1"/>
  <c r="J229" i="6"/>
  <c r="J55" i="26"/>
  <c r="K56" i="26" s="1"/>
  <c r="J16" i="26"/>
  <c r="I84" i="4"/>
  <c r="I247" i="6"/>
  <c r="J76" i="26"/>
  <c r="J107" i="6"/>
  <c r="J110" i="6" s="1"/>
  <c r="K111" i="6" s="1"/>
  <c r="J10" i="26"/>
  <c r="J49" i="26"/>
  <c r="K50" i="26" s="1"/>
  <c r="I246" i="6"/>
  <c r="N61" i="35"/>
  <c r="N72" i="35"/>
  <c r="N34" i="35"/>
  <c r="N47" i="35"/>
  <c r="J59" i="2"/>
  <c r="K60" i="2" s="1"/>
  <c r="O70" i="35"/>
  <c r="O45" i="35"/>
  <c r="O54" i="35"/>
  <c r="S55" i="35" s="1"/>
  <c r="O32" i="35"/>
  <c r="O59" i="35"/>
  <c r="N66" i="34"/>
  <c r="R67" i="34" s="1"/>
  <c r="N77" i="34"/>
  <c r="R78" i="34" s="1"/>
  <c r="N52" i="34"/>
  <c r="R53" i="34" s="1"/>
  <c r="N39" i="34"/>
  <c r="R40" i="34" s="1"/>
  <c r="N25" i="34"/>
  <c r="N26" i="34"/>
  <c r="N23" i="34"/>
  <c r="N24" i="34"/>
  <c r="N22" i="34"/>
  <c r="R80" i="12"/>
  <c r="O82" i="12"/>
  <c r="Q77" i="34"/>
  <c r="U78" i="34" s="1"/>
  <c r="Q52" i="34"/>
  <c r="U53" i="34" s="1"/>
  <c r="Q39" i="34"/>
  <c r="U40" i="34" s="1"/>
  <c r="Q66" i="34"/>
  <c r="U67" i="34" s="1"/>
  <c r="Q22" i="34"/>
  <c r="Q23" i="34"/>
  <c r="Q24" i="34"/>
  <c r="Q25" i="34"/>
  <c r="Q26" i="34"/>
  <c r="I65" i="26"/>
  <c r="I121" i="4"/>
  <c r="I13" i="26"/>
  <c r="J14" i="26" s="1"/>
  <c r="I56" i="27"/>
  <c r="I58" i="27" s="1"/>
  <c r="I27" i="26"/>
  <c r="J28" i="26" s="1"/>
  <c r="I63" i="26"/>
  <c r="J53" i="26"/>
  <c r="K54" i="26" s="1"/>
  <c r="J124" i="6"/>
  <c r="J204" i="6" s="1"/>
  <c r="J239" i="6"/>
  <c r="I23" i="4"/>
  <c r="I233" i="6"/>
  <c r="I118" i="4"/>
  <c r="I240" i="6"/>
  <c r="J69" i="8"/>
  <c r="K70" i="8" s="1"/>
  <c r="J79" i="6"/>
  <c r="I258" i="6"/>
  <c r="J30" i="26"/>
  <c r="J69" i="26"/>
  <c r="K70" i="26" s="1"/>
  <c r="J71" i="2"/>
  <c r="K72" i="2" s="1"/>
  <c r="Q28" i="12"/>
  <c r="Q99" i="12" s="1"/>
  <c r="Q81" i="12"/>
  <c r="P61" i="13"/>
  <c r="T62" i="13" s="1"/>
  <c r="Q69" i="13"/>
  <c r="U70" i="13" s="1"/>
  <c r="Q9" i="35"/>
  <c r="Q59" i="13"/>
  <c r="U60" i="13" s="1"/>
  <c r="Q11" i="35"/>
  <c r="R66" i="12"/>
  <c r="O39" i="34"/>
  <c r="S40" i="34" s="1"/>
  <c r="O66" i="34"/>
  <c r="S67" i="34" s="1"/>
  <c r="O77" i="34"/>
  <c r="S78" i="34" s="1"/>
  <c r="O52" i="34"/>
  <c r="S53" i="34" s="1"/>
  <c r="O26" i="34"/>
  <c r="O24" i="34"/>
  <c r="O25" i="34"/>
  <c r="O22" i="34"/>
  <c r="O23" i="34"/>
  <c r="R82" i="12"/>
  <c r="R76" i="12"/>
  <c r="I242" i="6"/>
  <c r="P82" i="12"/>
  <c r="I49" i="26"/>
  <c r="I76" i="26"/>
  <c r="I107" i="6"/>
  <c r="I73" i="6"/>
  <c r="I17" i="26"/>
  <c r="I69" i="26"/>
  <c r="J230" i="6"/>
  <c r="J121" i="4"/>
  <c r="J241" i="6"/>
  <c r="J203" i="6"/>
  <c r="J94" i="2"/>
  <c r="J21" i="26"/>
  <c r="K22" i="26" s="1"/>
  <c r="L49" i="41"/>
  <c r="P118" i="41"/>
  <c r="I252" i="6"/>
  <c r="J26" i="26"/>
  <c r="J65" i="26"/>
  <c r="K66" i="26" s="1"/>
  <c r="I229" i="6"/>
  <c r="I231" i="6" s="1"/>
  <c r="N28" i="12"/>
  <c r="N30" i="12" s="1"/>
  <c r="N81" i="12"/>
  <c r="I59" i="2"/>
  <c r="I11" i="8"/>
  <c r="Q17" i="35"/>
  <c r="Q72" i="35"/>
  <c r="Q61" i="35"/>
  <c r="Q47" i="35"/>
  <c r="Q34" i="35"/>
  <c r="N59" i="13"/>
  <c r="R60" i="13" s="1"/>
  <c r="N11" i="35"/>
  <c r="Q59" i="35"/>
  <c r="Q54" i="35"/>
  <c r="U55" i="35" s="1"/>
  <c r="Q70" i="35"/>
  <c r="Q32" i="35"/>
  <c r="Q45" i="35"/>
  <c r="J62" i="11"/>
  <c r="Q82" i="12"/>
  <c r="I86" i="8"/>
  <c r="I92" i="8" s="1"/>
  <c r="P57" i="35"/>
  <c r="P68" i="35"/>
  <c r="Q58" i="40"/>
  <c r="Q110" i="40"/>
  <c r="Q112" i="40" s="1"/>
  <c r="J60" i="11"/>
  <c r="P88" i="35"/>
  <c r="Q27" i="37"/>
  <c r="Q93" i="13"/>
  <c r="P20" i="13"/>
  <c r="P19" i="37" s="1"/>
  <c r="R67" i="13"/>
  <c r="R68" i="13" s="1"/>
  <c r="R61" i="13"/>
  <c r="R57" i="13"/>
  <c r="N61" i="13"/>
  <c r="N57" i="13"/>
  <c r="Q17" i="37"/>
  <c r="O73" i="39"/>
  <c r="Q9" i="37"/>
  <c r="Q67" i="13"/>
  <c r="U68" i="13" s="1"/>
  <c r="Q61" i="13"/>
  <c r="U62" i="13" s="1"/>
  <c r="Q57" i="13"/>
  <c r="U58" i="13" s="1"/>
  <c r="O57" i="13"/>
  <c r="S58" i="13" s="1"/>
  <c r="O61" i="13"/>
  <c r="S62" i="13" s="1"/>
  <c r="P94" i="13"/>
  <c r="R12" i="13"/>
  <c r="O98" i="12"/>
  <c r="Q98" i="12"/>
  <c r="U38" i="36"/>
  <c r="U37" i="36"/>
  <c r="U39" i="36"/>
  <c r="R13" i="13"/>
  <c r="N20" i="13"/>
  <c r="N19" i="37" s="1"/>
  <c r="N59" i="37" s="1"/>
  <c r="R69" i="13"/>
  <c r="R70" i="13" s="1"/>
  <c r="N92" i="13"/>
  <c r="R92" i="13"/>
  <c r="J57" i="2"/>
  <c r="K58" i="2" s="1"/>
  <c r="J61" i="2"/>
  <c r="K62" i="2" s="1"/>
  <c r="I57" i="2"/>
  <c r="I61" i="2"/>
  <c r="I92" i="2"/>
  <c r="I64" i="19"/>
  <c r="Z60" i="17" s="1"/>
  <c r="J78" i="11"/>
  <c r="I49" i="27"/>
  <c r="J92" i="2"/>
  <c r="J20" i="2"/>
  <c r="N77" i="13"/>
  <c r="R78" i="13" s="1"/>
  <c r="N71" i="13"/>
  <c r="R72" i="13" s="1"/>
  <c r="R20" i="13"/>
  <c r="R94" i="13"/>
  <c r="N13" i="13"/>
  <c r="N12" i="13"/>
  <c r="N94" i="13"/>
  <c r="N21" i="37"/>
  <c r="N61" i="37" s="1"/>
  <c r="N93" i="13"/>
  <c r="N27" i="37"/>
  <c r="N67" i="37" s="1"/>
  <c r="U45" i="36"/>
  <c r="R42" i="36"/>
  <c r="R43" i="36"/>
  <c r="R46" i="36"/>
  <c r="U46" i="36"/>
  <c r="U71" i="36"/>
  <c r="U44" i="36"/>
  <c r="U33" i="36"/>
  <c r="U36" i="36"/>
  <c r="U43" i="36"/>
  <c r="U42" i="36"/>
  <c r="N39" i="36"/>
  <c r="N46" i="36"/>
  <c r="N33" i="36"/>
  <c r="N73" i="36" s="1"/>
  <c r="N71" i="36"/>
  <c r="N44" i="36"/>
  <c r="R32" i="36"/>
  <c r="N43" i="36"/>
  <c r="N37" i="36"/>
  <c r="N36" i="36"/>
  <c r="N42" i="36"/>
  <c r="N38" i="36"/>
  <c r="N40" i="36"/>
  <c r="N45" i="36"/>
  <c r="P47" i="36"/>
  <c r="N41" i="36"/>
  <c r="T46" i="36"/>
  <c r="T43" i="36"/>
  <c r="T33" i="36"/>
  <c r="T73" i="36" s="1"/>
  <c r="T44" i="36"/>
  <c r="T45" i="36"/>
  <c r="T42" i="36"/>
  <c r="T39" i="36"/>
  <c r="R20" i="36"/>
  <c r="N59" i="36"/>
  <c r="R60" i="36" s="1"/>
  <c r="T36" i="36"/>
  <c r="T41" i="36"/>
  <c r="T38" i="36"/>
  <c r="O36" i="36"/>
  <c r="O40" i="36"/>
  <c r="O43" i="36"/>
  <c r="O44" i="36"/>
  <c r="O37" i="36"/>
  <c r="O41" i="36"/>
  <c r="O42" i="36"/>
  <c r="O46" i="36"/>
  <c r="O33" i="36"/>
  <c r="O73" i="36" s="1"/>
  <c r="O71" i="36"/>
  <c r="T50" i="36"/>
  <c r="T72" i="36"/>
  <c r="O38" i="36"/>
  <c r="R33" i="36"/>
  <c r="R71" i="36"/>
  <c r="R36" i="36"/>
  <c r="R40" i="36"/>
  <c r="R45" i="36"/>
  <c r="O45" i="36"/>
  <c r="P92" i="13"/>
  <c r="O39" i="36"/>
  <c r="R37" i="36"/>
  <c r="R41" i="36"/>
  <c r="K211" i="17"/>
  <c r="K212" i="17" s="1"/>
  <c r="J13" i="2"/>
  <c r="K14" i="2" s="1"/>
  <c r="K214" i="17"/>
  <c r="J69" i="2"/>
  <c r="K70" i="2" s="1"/>
  <c r="J67" i="2"/>
  <c r="L57" i="41"/>
  <c r="L111" i="41" s="1"/>
  <c r="J37" i="27"/>
  <c r="I81" i="4"/>
  <c r="Q92" i="13"/>
  <c r="I104" i="4"/>
  <c r="Z58" i="17"/>
  <c r="I47" i="19"/>
  <c r="I97" i="18"/>
  <c r="I94" i="18"/>
  <c r="I95" i="18"/>
  <c r="I128" i="18"/>
  <c r="I96" i="18"/>
  <c r="O85" i="35"/>
  <c r="O91" i="35" s="1"/>
  <c r="N88" i="35"/>
  <c r="N87" i="35"/>
  <c r="N91" i="35"/>
  <c r="N90" i="35"/>
  <c r="Q91" i="35"/>
  <c r="K285" i="17"/>
  <c r="J62" i="27"/>
  <c r="O22" i="31"/>
  <c r="O56" i="31"/>
  <c r="O33" i="31"/>
  <c r="R28" i="12"/>
  <c r="R30" i="12" s="1"/>
  <c r="P24" i="13"/>
  <c r="T25" i="13" s="1"/>
  <c r="P9" i="37"/>
  <c r="T10" i="37" s="1"/>
  <c r="P43" i="41"/>
  <c r="P109" i="41" s="1"/>
  <c r="P70" i="41"/>
  <c r="P88" i="41" s="1"/>
  <c r="P82" i="41"/>
  <c r="P99" i="40"/>
  <c r="Q29" i="37"/>
  <c r="J34" i="27"/>
  <c r="O12" i="31"/>
  <c r="S22" i="31"/>
  <c r="S56" i="31"/>
  <c r="J41" i="19"/>
  <c r="J51" i="19"/>
  <c r="I82" i="4"/>
  <c r="I70" i="4"/>
  <c r="J57" i="17" s="1"/>
  <c r="I43" i="4"/>
  <c r="I109" i="4" s="1"/>
  <c r="N110" i="40"/>
  <c r="N112" i="40" s="1"/>
  <c r="P28" i="12"/>
  <c r="P123" i="41"/>
  <c r="P126" i="41" s="1"/>
  <c r="P33" i="41"/>
  <c r="P71" i="41"/>
  <c r="P81" i="41"/>
  <c r="I57" i="4"/>
  <c r="I111" i="4" s="1"/>
  <c r="I13" i="4"/>
  <c r="Q90" i="35"/>
  <c r="Q88" i="35"/>
  <c r="Q87" i="35"/>
  <c r="L66" i="41"/>
  <c r="L123" i="41" s="1"/>
  <c r="L126" i="41" s="1"/>
  <c r="R39" i="31"/>
  <c r="O99" i="40"/>
  <c r="O58" i="40"/>
  <c r="U20" i="36"/>
  <c r="Q31" i="36"/>
  <c r="Q41" i="36" s="1"/>
  <c r="Q59" i="36"/>
  <c r="U60" i="36" s="1"/>
  <c r="P125" i="41"/>
  <c r="Q20" i="13"/>
  <c r="Q19" i="37" s="1"/>
  <c r="U20" i="37" s="1"/>
  <c r="Q94" i="13"/>
  <c r="Q21" i="37"/>
  <c r="P22" i="31"/>
  <c r="P56" i="31"/>
  <c r="I71" i="4"/>
  <c r="I49" i="4"/>
  <c r="I251" i="6" s="1"/>
  <c r="R99" i="40"/>
  <c r="O28" i="12"/>
  <c r="K90" i="17"/>
  <c r="K183" i="17"/>
  <c r="N89" i="35"/>
  <c r="O93" i="13"/>
  <c r="O27" i="37"/>
  <c r="S28" i="37" s="1"/>
  <c r="O92" i="13"/>
  <c r="O67" i="13"/>
  <c r="S68" i="13" s="1"/>
  <c r="O69" i="13"/>
  <c r="S70" i="13" s="1"/>
  <c r="O13" i="13"/>
  <c r="L33" i="41"/>
  <c r="L81" i="41"/>
  <c r="L71" i="41"/>
  <c r="L43" i="41"/>
  <c r="L117" i="41" s="1"/>
  <c r="O69" i="37"/>
  <c r="S70" i="37" s="1"/>
  <c r="L23" i="41"/>
  <c r="L118" i="41"/>
  <c r="O55" i="37"/>
  <c r="S56" i="37" s="1"/>
  <c r="O9" i="37"/>
  <c r="S10" i="37" s="1"/>
  <c r="O12" i="13"/>
  <c r="L82" i="41"/>
  <c r="O65" i="37"/>
  <c r="S66" i="37" s="1"/>
  <c r="L70" i="41"/>
  <c r="O57" i="37"/>
  <c r="S58" i="37" s="1"/>
  <c r="O20" i="13"/>
  <c r="O19" i="37" s="1"/>
  <c r="S20" i="37" s="1"/>
  <c r="O53" i="37"/>
  <c r="S54" i="37" s="1"/>
  <c r="J57" i="4"/>
  <c r="J111" i="4" s="1"/>
  <c r="J43" i="27"/>
  <c r="J46" i="27"/>
  <c r="J61" i="27"/>
  <c r="J73" i="4"/>
  <c r="J68" i="4" s="1"/>
  <c r="J93" i="2"/>
  <c r="I12" i="2"/>
  <c r="I17" i="8" s="1"/>
  <c r="I37" i="8" s="1"/>
  <c r="I20" i="2"/>
  <c r="J70" i="4"/>
  <c r="J109" i="4"/>
  <c r="J49" i="4"/>
  <c r="J251" i="6" s="1"/>
  <c r="J57" i="27"/>
  <c r="I108" i="4"/>
  <c r="J22" i="27"/>
  <c r="I13" i="2"/>
  <c r="J49" i="17" s="1"/>
  <c r="I93" i="2"/>
  <c r="I61" i="27"/>
  <c r="I63" i="27" s="1"/>
  <c r="I73" i="4"/>
  <c r="I41" i="19"/>
  <c r="I52" i="19"/>
  <c r="I51" i="19"/>
  <c r="J81" i="4"/>
  <c r="J118" i="4"/>
  <c r="J71" i="4"/>
  <c r="J82" i="4"/>
  <c r="K292" i="17"/>
  <c r="J95" i="18"/>
  <c r="J100" i="18"/>
  <c r="J68" i="18"/>
  <c r="J99" i="18"/>
  <c r="J58" i="18"/>
  <c r="N98" i="12"/>
  <c r="R98" i="12"/>
  <c r="L5" i="31"/>
  <c r="M5" i="31"/>
  <c r="L6" i="31"/>
  <c r="M6" i="31"/>
  <c r="L7" i="31"/>
  <c r="L8" i="31" s="1"/>
  <c r="M7" i="31"/>
  <c r="M8" i="31" s="1"/>
  <c r="L60" i="31"/>
  <c r="M60" i="31"/>
  <c r="L5" i="30"/>
  <c r="M5" i="30"/>
  <c r="L43" i="30"/>
  <c r="M43" i="30"/>
  <c r="L57" i="30"/>
  <c r="M57" i="30"/>
  <c r="L61" i="30"/>
  <c r="M61" i="30"/>
  <c r="L62" i="30"/>
  <c r="M62" i="30"/>
  <c r="L5" i="40"/>
  <c r="M5" i="40"/>
  <c r="L13" i="41"/>
  <c r="M13" i="41"/>
  <c r="L115" i="40"/>
  <c r="L109" i="40"/>
  <c r="M109" i="40"/>
  <c r="L57" i="40"/>
  <c r="M57" i="40"/>
  <c r="M111" i="40" s="1"/>
  <c r="M66" i="40"/>
  <c r="L66" i="40"/>
  <c r="L123" i="40" s="1"/>
  <c r="L126" i="40" s="1"/>
  <c r="L70" i="40"/>
  <c r="L79" i="40" s="1"/>
  <c r="M70" i="40"/>
  <c r="M79" i="40" s="1"/>
  <c r="L71" i="40"/>
  <c r="M71" i="40"/>
  <c r="L81" i="40"/>
  <c r="M81" i="40"/>
  <c r="L82" i="40"/>
  <c r="M82" i="40"/>
  <c r="L83" i="40"/>
  <c r="M83" i="40"/>
  <c r="L84" i="40"/>
  <c r="M84" i="40"/>
  <c r="L102" i="40"/>
  <c r="M102" i="40"/>
  <c r="L103" i="40"/>
  <c r="M103" i="40"/>
  <c r="L111" i="40"/>
  <c r="L114" i="40"/>
  <c r="M114" i="40"/>
  <c r="L117" i="40"/>
  <c r="L118" i="40"/>
  <c r="M118" i="40"/>
  <c r="L5" i="13"/>
  <c r="M5" i="13"/>
  <c r="L6" i="13"/>
  <c r="M6" i="13"/>
  <c r="L7" i="13"/>
  <c r="L36" i="13" s="1"/>
  <c r="M7" i="13"/>
  <c r="M21" i="13" s="1"/>
  <c r="L50" i="13"/>
  <c r="P51" i="13" s="1"/>
  <c r="M50" i="13"/>
  <c r="Q51" i="13" s="1"/>
  <c r="L52" i="13"/>
  <c r="P53" i="13" s="1"/>
  <c r="M52" i="13"/>
  <c r="Q53" i="13" s="1"/>
  <c r="L55" i="13"/>
  <c r="M55" i="13"/>
  <c r="L5" i="12"/>
  <c r="M5" i="12"/>
  <c r="L12" i="12"/>
  <c r="M12" i="12"/>
  <c r="L13" i="12"/>
  <c r="M13" i="12"/>
  <c r="L20" i="12"/>
  <c r="L24" i="12" s="1"/>
  <c r="M20" i="12"/>
  <c r="M24" i="12" s="1"/>
  <c r="L46" i="30"/>
  <c r="M46" i="30"/>
  <c r="E78" i="39"/>
  <c r="D78" i="39"/>
  <c r="C78" i="39"/>
  <c r="B78" i="39"/>
  <c r="E76" i="39"/>
  <c r="D76" i="39"/>
  <c r="C76" i="39"/>
  <c r="B76" i="39"/>
  <c r="U73" i="36" l="1"/>
  <c r="M90" i="41"/>
  <c r="M91" i="41"/>
  <c r="I81" i="11"/>
  <c r="Z51" i="17" s="1"/>
  <c r="Z50" i="17"/>
  <c r="J82" i="11"/>
  <c r="J72" i="2"/>
  <c r="N99" i="12"/>
  <c r="M92" i="41"/>
  <c r="Q30" i="12"/>
  <c r="Q37" i="12" s="1"/>
  <c r="Q43" i="12" s="1"/>
  <c r="Q45" i="12" s="1"/>
  <c r="Q47" i="12" s="1"/>
  <c r="M105" i="41"/>
  <c r="R24" i="13"/>
  <c r="R19" i="37"/>
  <c r="P19" i="35"/>
  <c r="P65" i="35" s="1"/>
  <c r="T66" i="35" s="1"/>
  <c r="T14" i="13"/>
  <c r="O62" i="39"/>
  <c r="U14" i="13"/>
  <c r="R12" i="37"/>
  <c r="R51" i="37"/>
  <c r="R52" i="37" s="1"/>
  <c r="R45" i="35"/>
  <c r="R59" i="35"/>
  <c r="R70" i="35"/>
  <c r="R32" i="35"/>
  <c r="R54" i="35"/>
  <c r="R55" i="35" s="1"/>
  <c r="R62" i="37"/>
  <c r="R22" i="37"/>
  <c r="Q61" i="37"/>
  <c r="U62" i="37" s="1"/>
  <c r="U22" i="37"/>
  <c r="Q69" i="37"/>
  <c r="U70" i="37" s="1"/>
  <c r="U30" i="37"/>
  <c r="J68" i="2"/>
  <c r="K68" i="2"/>
  <c r="R63" i="13"/>
  <c r="R19" i="35"/>
  <c r="Q49" i="37"/>
  <c r="U50" i="37" s="1"/>
  <c r="U10" i="37"/>
  <c r="Q57" i="37"/>
  <c r="U58" i="37" s="1"/>
  <c r="U18" i="37"/>
  <c r="P59" i="37"/>
  <c r="T60" i="37" s="1"/>
  <c r="T20" i="37"/>
  <c r="Q67" i="37"/>
  <c r="U68" i="37" s="1"/>
  <c r="U28" i="37"/>
  <c r="J123" i="4"/>
  <c r="J126" i="4" s="1"/>
  <c r="K107" i="2"/>
  <c r="R17" i="35"/>
  <c r="R18" i="37"/>
  <c r="R57" i="37"/>
  <c r="R58" i="37" s="1"/>
  <c r="R28" i="37"/>
  <c r="R67" i="37"/>
  <c r="R68" i="37" s="1"/>
  <c r="J47" i="19"/>
  <c r="K106" i="11"/>
  <c r="J128" i="18"/>
  <c r="J106" i="18"/>
  <c r="J50" i="19"/>
  <c r="J96" i="18"/>
  <c r="J94" i="18"/>
  <c r="J52" i="19"/>
  <c r="J97" i="18"/>
  <c r="J60" i="2"/>
  <c r="J259" i="6"/>
  <c r="R34" i="31"/>
  <c r="N55" i="31"/>
  <c r="N57" i="31" s="1"/>
  <c r="N63" i="31" s="1"/>
  <c r="P48" i="31"/>
  <c r="M28" i="31"/>
  <c r="M17" i="31"/>
  <c r="R43" i="31"/>
  <c r="R42" i="31"/>
  <c r="N85" i="41"/>
  <c r="N34" i="41"/>
  <c r="N99" i="41" s="1"/>
  <c r="N109" i="41"/>
  <c r="N112" i="41" s="1"/>
  <c r="Q116" i="41"/>
  <c r="T74" i="36"/>
  <c r="J60" i="25"/>
  <c r="P36" i="35"/>
  <c r="P74" i="35"/>
  <c r="Q117" i="41"/>
  <c r="L26" i="31"/>
  <c r="J76" i="11"/>
  <c r="M123" i="41"/>
  <c r="M126" i="41" s="1"/>
  <c r="S72" i="36"/>
  <c r="O27" i="34"/>
  <c r="M24" i="41"/>
  <c r="M110" i="41" s="1"/>
  <c r="M112" i="41" s="1"/>
  <c r="L32" i="31"/>
  <c r="M116" i="41"/>
  <c r="I253" i="6"/>
  <c r="M117" i="41"/>
  <c r="I237" i="6"/>
  <c r="O112" i="41"/>
  <c r="Q34" i="41"/>
  <c r="Q58" i="41" s="1"/>
  <c r="N88" i="41"/>
  <c r="N72" i="41"/>
  <c r="J70" i="2"/>
  <c r="P51" i="35"/>
  <c r="N39" i="31"/>
  <c r="N44" i="41"/>
  <c r="N115" i="41" s="1"/>
  <c r="Q85" i="41"/>
  <c r="N116" i="41"/>
  <c r="N123" i="41"/>
  <c r="N126" i="41" s="1"/>
  <c r="N125" i="41"/>
  <c r="O19" i="35"/>
  <c r="O22" i="35" s="1"/>
  <c r="S14" i="13"/>
  <c r="N27" i="34"/>
  <c r="S47" i="36"/>
  <c r="R95" i="13"/>
  <c r="S13" i="31"/>
  <c r="S34" i="31" s="1"/>
  <c r="R75" i="13"/>
  <c r="R82" i="13" s="1"/>
  <c r="R79" i="13"/>
  <c r="L30" i="31"/>
  <c r="L24" i="31"/>
  <c r="L17" i="31"/>
  <c r="I28" i="11"/>
  <c r="I99" i="11" s="1"/>
  <c r="M44" i="41"/>
  <c r="M115" i="41" s="1"/>
  <c r="I24" i="4"/>
  <c r="I110" i="4" s="1"/>
  <c r="I112" i="4" s="1"/>
  <c r="N34" i="31"/>
  <c r="L15" i="31"/>
  <c r="J81" i="11"/>
  <c r="AA51" i="17" s="1"/>
  <c r="O99" i="41"/>
  <c r="Q125" i="41"/>
  <c r="J80" i="11"/>
  <c r="J45" i="27"/>
  <c r="K57" i="17"/>
  <c r="J114" i="4"/>
  <c r="K49" i="17"/>
  <c r="L21" i="31"/>
  <c r="L27" i="31"/>
  <c r="L61" i="31" s="1"/>
  <c r="L62" i="31" s="1"/>
  <c r="L18" i="31"/>
  <c r="J28" i="11"/>
  <c r="J129" i="18" s="1"/>
  <c r="J93" i="18"/>
  <c r="AA59" i="17" s="1"/>
  <c r="P85" i="41"/>
  <c r="I93" i="18"/>
  <c r="Z59" i="17" s="1"/>
  <c r="AA50" i="17"/>
  <c r="I98" i="11"/>
  <c r="N43" i="31"/>
  <c r="Q65" i="13"/>
  <c r="U66" i="13" s="1"/>
  <c r="Q19" i="35"/>
  <c r="Q22" i="35" s="1"/>
  <c r="Q63" i="13"/>
  <c r="U64" i="13" s="1"/>
  <c r="Q27" i="34"/>
  <c r="Q13" i="31"/>
  <c r="Q44" i="41"/>
  <c r="Q115" i="41" s="1"/>
  <c r="Q108" i="41"/>
  <c r="Q112" i="41" s="1"/>
  <c r="J98" i="11"/>
  <c r="M35" i="31"/>
  <c r="L85" i="41"/>
  <c r="N24" i="13"/>
  <c r="N26" i="13" s="1"/>
  <c r="P92" i="35"/>
  <c r="J205" i="6"/>
  <c r="P27" i="34"/>
  <c r="M26" i="31"/>
  <c r="M19" i="31"/>
  <c r="J125" i="4"/>
  <c r="I259" i="6"/>
  <c r="Q79" i="41"/>
  <c r="Q88" i="41"/>
  <c r="Q72" i="41"/>
  <c r="M9" i="31"/>
  <c r="I64" i="27"/>
  <c r="J60" i="17" s="1"/>
  <c r="L35" i="31"/>
  <c r="L29" i="31"/>
  <c r="L23" i="31"/>
  <c r="L19" i="31"/>
  <c r="L16" i="31"/>
  <c r="L45" i="31"/>
  <c r="L31" i="31"/>
  <c r="L28" i="31"/>
  <c r="L25" i="31"/>
  <c r="L20" i="31"/>
  <c r="L14" i="31"/>
  <c r="I249" i="6"/>
  <c r="P95" i="13"/>
  <c r="P38" i="35"/>
  <c r="P25" i="35"/>
  <c r="N62" i="39"/>
  <c r="P65" i="13"/>
  <c r="T66" i="13" s="1"/>
  <c r="P23" i="35"/>
  <c r="P76" i="35"/>
  <c r="T77" i="35" s="1"/>
  <c r="P63" i="13"/>
  <c r="T64" i="13" s="1"/>
  <c r="P22" i="35"/>
  <c r="P24" i="35"/>
  <c r="Q24" i="13"/>
  <c r="U25" i="13" s="1"/>
  <c r="J63" i="27"/>
  <c r="J56" i="27"/>
  <c r="J58" i="27" s="1"/>
  <c r="J110" i="4"/>
  <c r="J49" i="27"/>
  <c r="L104" i="40"/>
  <c r="L72" i="40"/>
  <c r="L90" i="40" s="1"/>
  <c r="I100" i="18"/>
  <c r="Z55" i="17"/>
  <c r="I99" i="18"/>
  <c r="I68" i="18"/>
  <c r="I58" i="18"/>
  <c r="Q28" i="35"/>
  <c r="Q41" i="35"/>
  <c r="J66" i="26"/>
  <c r="L23" i="13"/>
  <c r="M30" i="31"/>
  <c r="M21" i="31"/>
  <c r="M11" i="31"/>
  <c r="L125" i="41"/>
  <c r="L33" i="13"/>
  <c r="M32" i="31"/>
  <c r="M24" i="31"/>
  <c r="M15" i="31"/>
  <c r="L11" i="31"/>
  <c r="L72" i="41"/>
  <c r="L127" i="41" s="1"/>
  <c r="J85" i="4"/>
  <c r="I125" i="4"/>
  <c r="J40" i="27"/>
  <c r="J35" i="27"/>
  <c r="J38" i="27" s="1"/>
  <c r="J253" i="6"/>
  <c r="I243" i="6"/>
  <c r="J243" i="6"/>
  <c r="I116" i="4"/>
  <c r="J125" i="6"/>
  <c r="J126" i="6" s="1"/>
  <c r="K127" i="6" s="1"/>
  <c r="J78" i="2"/>
  <c r="I24" i="2"/>
  <c r="I79" i="2" s="1"/>
  <c r="I19" i="26"/>
  <c r="J86" i="4"/>
  <c r="K61" i="17" s="1"/>
  <c r="J60" i="6"/>
  <c r="K61" i="6" s="1"/>
  <c r="J24" i="2"/>
  <c r="J19" i="26"/>
  <c r="K20" i="26" s="1"/>
  <c r="Q68" i="35"/>
  <c r="Q57" i="35"/>
  <c r="J70" i="26"/>
  <c r="I89" i="8"/>
  <c r="J231" i="6"/>
  <c r="J237" i="6" s="1"/>
  <c r="J73" i="8"/>
  <c r="J89" i="6"/>
  <c r="K90" i="6" s="1"/>
  <c r="I132" i="6"/>
  <c r="I71" i="25"/>
  <c r="J51" i="26"/>
  <c r="K52" i="26" s="1"/>
  <c r="J92" i="6"/>
  <c r="J104" i="6" s="1"/>
  <c r="K105" i="6" s="1"/>
  <c r="J12" i="26"/>
  <c r="I61" i="26"/>
  <c r="M79" i="12"/>
  <c r="M75" i="12"/>
  <c r="I75" i="8"/>
  <c r="I64" i="8"/>
  <c r="I50" i="8"/>
  <c r="R102" i="12"/>
  <c r="R101" i="12"/>
  <c r="R103" i="12"/>
  <c r="R83" i="12"/>
  <c r="R85" i="12"/>
  <c r="J71" i="8"/>
  <c r="K72" i="8" s="1"/>
  <c r="J135" i="6"/>
  <c r="J82" i="6"/>
  <c r="K83" i="6" s="1"/>
  <c r="I141" i="6"/>
  <c r="I67" i="26"/>
  <c r="J68" i="26" s="1"/>
  <c r="J50" i="26"/>
  <c r="J75" i="8"/>
  <c r="K76" i="8" s="1"/>
  <c r="J71" i="25"/>
  <c r="N74" i="35"/>
  <c r="N63" i="35"/>
  <c r="N49" i="35"/>
  <c r="N36" i="35"/>
  <c r="J18" i="26"/>
  <c r="J134" i="6"/>
  <c r="J57" i="26"/>
  <c r="K58" i="26" s="1"/>
  <c r="J163" i="6"/>
  <c r="J164" i="6" s="1"/>
  <c r="J144" i="6"/>
  <c r="J145" i="6" s="1"/>
  <c r="P14" i="12"/>
  <c r="L65" i="12"/>
  <c r="L63" i="12"/>
  <c r="L19" i="34"/>
  <c r="M31" i="31"/>
  <c r="M29" i="31"/>
  <c r="M27" i="31"/>
  <c r="M61" i="31" s="1"/>
  <c r="M62" i="31" s="1"/>
  <c r="M25" i="31"/>
  <c r="M23" i="31"/>
  <c r="I65" i="2"/>
  <c r="I19" i="8"/>
  <c r="I24" i="8" s="1"/>
  <c r="I60" i="6"/>
  <c r="P117" i="41"/>
  <c r="Q101" i="12"/>
  <c r="Q103" i="12"/>
  <c r="Q102" i="12"/>
  <c r="Q83" i="12"/>
  <c r="U84" i="12" s="1"/>
  <c r="Q85" i="12"/>
  <c r="U86" i="12" s="1"/>
  <c r="Q74" i="35"/>
  <c r="Q49" i="35"/>
  <c r="Q36" i="35"/>
  <c r="Q63" i="35"/>
  <c r="N37" i="12"/>
  <c r="N43" i="12" s="1"/>
  <c r="N45" i="12" s="1"/>
  <c r="N47" i="12" s="1"/>
  <c r="N102" i="12"/>
  <c r="N101" i="12"/>
  <c r="N103" i="12"/>
  <c r="N83" i="12"/>
  <c r="N85" i="12"/>
  <c r="J22" i="26"/>
  <c r="J61" i="26"/>
  <c r="K62" i="26" s="1"/>
  <c r="I57" i="26"/>
  <c r="I134" i="6"/>
  <c r="AA36" i="17"/>
  <c r="I92" i="6"/>
  <c r="I104" i="6" s="1"/>
  <c r="I51" i="26"/>
  <c r="Q14" i="12"/>
  <c r="M63" i="12"/>
  <c r="M65" i="12"/>
  <c r="M19" i="34"/>
  <c r="L79" i="12"/>
  <c r="L75" i="12"/>
  <c r="L110" i="40"/>
  <c r="M45" i="31"/>
  <c r="M20" i="31"/>
  <c r="M18" i="31"/>
  <c r="M16" i="31"/>
  <c r="M14" i="31"/>
  <c r="L10" i="31"/>
  <c r="J99" i="11"/>
  <c r="N95" i="13"/>
  <c r="N121" i="41"/>
  <c r="N19" i="35"/>
  <c r="N25" i="35" s="1"/>
  <c r="I88" i="8"/>
  <c r="I44" i="8"/>
  <c r="I31" i="8"/>
  <c r="AA38" i="17"/>
  <c r="I53" i="26"/>
  <c r="I124" i="6"/>
  <c r="I204" i="6" s="1"/>
  <c r="I90" i="8"/>
  <c r="J132" i="6"/>
  <c r="K133" i="6" s="1"/>
  <c r="J56" i="26"/>
  <c r="O63" i="35"/>
  <c r="O74" i="35"/>
  <c r="O36" i="35"/>
  <c r="O49" i="35"/>
  <c r="J86" i="8"/>
  <c r="J88" i="8" s="1"/>
  <c r="I91" i="8"/>
  <c r="I58" i="8"/>
  <c r="I69" i="8"/>
  <c r="J70" i="8" s="1"/>
  <c r="I42" i="8"/>
  <c r="I79" i="6"/>
  <c r="I135" i="6" s="1"/>
  <c r="I29" i="8"/>
  <c r="J64" i="26"/>
  <c r="I71" i="8"/>
  <c r="I60" i="8"/>
  <c r="I55" i="8"/>
  <c r="I46" i="8"/>
  <c r="I33" i="8"/>
  <c r="M115" i="40"/>
  <c r="M117" i="40"/>
  <c r="I65" i="19"/>
  <c r="R62" i="13"/>
  <c r="O88" i="35"/>
  <c r="O90" i="35"/>
  <c r="O89" i="35"/>
  <c r="Q92" i="35"/>
  <c r="L42" i="13"/>
  <c r="L19" i="13"/>
  <c r="R58" i="13"/>
  <c r="M8" i="13"/>
  <c r="M9" i="35" s="1"/>
  <c r="M9" i="13"/>
  <c r="L11" i="13"/>
  <c r="L15" i="35" s="1"/>
  <c r="L9" i="13"/>
  <c r="R65" i="13"/>
  <c r="M63" i="30"/>
  <c r="R14" i="13"/>
  <c r="P62" i="39"/>
  <c r="T34" i="36"/>
  <c r="R26" i="13"/>
  <c r="S34" i="36"/>
  <c r="S74" i="36"/>
  <c r="N47" i="36"/>
  <c r="U47" i="36"/>
  <c r="T47" i="36"/>
  <c r="J62" i="2"/>
  <c r="J58" i="2"/>
  <c r="J95" i="2"/>
  <c r="J63" i="2"/>
  <c r="K64" i="2" s="1"/>
  <c r="I95" i="2"/>
  <c r="J14" i="2"/>
  <c r="I63" i="2"/>
  <c r="J119" i="4"/>
  <c r="J65" i="2"/>
  <c r="K66" i="2" s="1"/>
  <c r="M39" i="13"/>
  <c r="M91" i="13" s="1"/>
  <c r="M32" i="13"/>
  <c r="L54" i="13"/>
  <c r="M36" i="13"/>
  <c r="M29" i="13"/>
  <c r="M16" i="13"/>
  <c r="M77" i="13" s="1"/>
  <c r="Q78" i="13" s="1"/>
  <c r="M44" i="13"/>
  <c r="M10" i="13"/>
  <c r="N31" i="37"/>
  <c r="N71" i="37" s="1"/>
  <c r="N63" i="13"/>
  <c r="R64" i="13" s="1"/>
  <c r="N65" i="13"/>
  <c r="M41" i="13"/>
  <c r="M34" i="13"/>
  <c r="M23" i="13"/>
  <c r="M18" i="13"/>
  <c r="R72" i="36"/>
  <c r="R47" i="36"/>
  <c r="R99" i="12"/>
  <c r="O47" i="36"/>
  <c r="R73" i="36"/>
  <c r="R74" i="36" s="1"/>
  <c r="R34" i="36"/>
  <c r="M34" i="41"/>
  <c r="M58" i="41" s="1"/>
  <c r="P25" i="12"/>
  <c r="L26" i="12"/>
  <c r="L81" i="12" s="1"/>
  <c r="M54" i="13"/>
  <c r="N58" i="41"/>
  <c r="P44" i="41"/>
  <c r="P115" i="41" s="1"/>
  <c r="P108" i="41"/>
  <c r="P112" i="41" s="1"/>
  <c r="P116" i="41"/>
  <c r="P30" i="12"/>
  <c r="P99" i="12"/>
  <c r="P72" i="41"/>
  <c r="P75" i="13"/>
  <c r="T76" i="13" s="1"/>
  <c r="P79" i="13"/>
  <c r="T80" i="13" s="1"/>
  <c r="Q95" i="13"/>
  <c r="P79" i="41"/>
  <c r="L85" i="40"/>
  <c r="I45" i="27"/>
  <c r="I79" i="4"/>
  <c r="I88" i="4"/>
  <c r="I72" i="4"/>
  <c r="I75" i="4" s="1"/>
  <c r="J58" i="17" s="1"/>
  <c r="O48" i="31"/>
  <c r="O13" i="31"/>
  <c r="O43" i="31" s="1"/>
  <c r="O87" i="35"/>
  <c r="I85" i="4"/>
  <c r="I44" i="4"/>
  <c r="I115" i="4" s="1"/>
  <c r="M26" i="12"/>
  <c r="M98" i="12" s="1"/>
  <c r="Q25" i="12"/>
  <c r="M85" i="40"/>
  <c r="L24" i="41"/>
  <c r="L34" i="41" s="1"/>
  <c r="O30" i="12"/>
  <c r="O99" i="12"/>
  <c r="P39" i="31"/>
  <c r="P55" i="31"/>
  <c r="P57" i="31" s="1"/>
  <c r="P63" i="31" s="1"/>
  <c r="P34" i="31"/>
  <c r="P42" i="31"/>
  <c r="N58" i="40"/>
  <c r="N99" i="40"/>
  <c r="R37" i="12"/>
  <c r="R43" i="12" s="1"/>
  <c r="R45" i="12" s="1"/>
  <c r="R47" i="12" s="1"/>
  <c r="I117" i="4"/>
  <c r="P26" i="13"/>
  <c r="L108" i="40"/>
  <c r="L63" i="30"/>
  <c r="O95" i="13"/>
  <c r="Q31" i="37"/>
  <c r="U32" i="37" s="1"/>
  <c r="Q59" i="37"/>
  <c r="U60" i="37" s="1"/>
  <c r="U32" i="36"/>
  <c r="Q33" i="36"/>
  <c r="Q36" i="36"/>
  <c r="Q37" i="36"/>
  <c r="Q38" i="36"/>
  <c r="Q39" i="36"/>
  <c r="Q40" i="36"/>
  <c r="Q42" i="36"/>
  <c r="Q43" i="36"/>
  <c r="Q44" i="36"/>
  <c r="Q45" i="36"/>
  <c r="Q46" i="36"/>
  <c r="Q71" i="36"/>
  <c r="U72" i="36" s="1"/>
  <c r="P43" i="31"/>
  <c r="P49" i="37"/>
  <c r="T50" i="37" s="1"/>
  <c r="P31" i="37"/>
  <c r="T32" i="37" s="1"/>
  <c r="N92" i="35"/>
  <c r="I98" i="18"/>
  <c r="I130" i="18"/>
  <c r="P34" i="41"/>
  <c r="O59" i="37"/>
  <c r="S60" i="37" s="1"/>
  <c r="L79" i="41"/>
  <c r="O67" i="37"/>
  <c r="S68" i="37" s="1"/>
  <c r="O49" i="37"/>
  <c r="S50" i="37" s="1"/>
  <c r="O31" i="37"/>
  <c r="S32" i="37" s="1"/>
  <c r="L9" i="31"/>
  <c r="O24" i="13"/>
  <c r="L88" i="41"/>
  <c r="O63" i="13"/>
  <c r="S64" i="13" s="1"/>
  <c r="O65" i="13"/>
  <c r="S66" i="13" s="1"/>
  <c r="M10" i="31"/>
  <c r="L44" i="41"/>
  <c r="L115" i="41" s="1"/>
  <c r="L109" i="41"/>
  <c r="L108" i="41"/>
  <c r="L116" i="41"/>
  <c r="J72" i="4"/>
  <c r="J75" i="4" s="1"/>
  <c r="J53" i="27"/>
  <c r="J115" i="4"/>
  <c r="J116" i="4"/>
  <c r="J108" i="4"/>
  <c r="J79" i="4"/>
  <c r="J117" i="4"/>
  <c r="J88" i="4"/>
  <c r="I119" i="4"/>
  <c r="I86" i="4"/>
  <c r="J61" i="17" s="1"/>
  <c r="I114" i="4"/>
  <c r="I53" i="27"/>
  <c r="J98" i="18"/>
  <c r="J130" i="18"/>
  <c r="L46" i="13"/>
  <c r="L39" i="13"/>
  <c r="L91" i="13" s="1"/>
  <c r="L35" i="13"/>
  <c r="L29" i="13"/>
  <c r="L22" i="13"/>
  <c r="L16" i="13"/>
  <c r="L77" i="13" s="1"/>
  <c r="P78" i="13" s="1"/>
  <c r="L10" i="13"/>
  <c r="L41" i="13"/>
  <c r="L38" i="13"/>
  <c r="L90" i="13" s="1"/>
  <c r="L32" i="13"/>
  <c r="L27" i="13"/>
  <c r="L18" i="13"/>
  <c r="L15" i="13"/>
  <c r="L8" i="13"/>
  <c r="L44" i="13"/>
  <c r="L40" i="13"/>
  <c r="L34" i="13"/>
  <c r="L31" i="13"/>
  <c r="L21" i="13"/>
  <c r="L17" i="13"/>
  <c r="M94" i="13"/>
  <c r="M46" i="13"/>
  <c r="M42" i="13"/>
  <c r="M40" i="13"/>
  <c r="M38" i="13"/>
  <c r="M90" i="13" s="1"/>
  <c r="M35" i="13"/>
  <c r="M33" i="13"/>
  <c r="M31" i="13"/>
  <c r="M27" i="13"/>
  <c r="M22" i="13"/>
  <c r="M19" i="13"/>
  <c r="M17" i="13"/>
  <c r="M15" i="13"/>
  <c r="M11" i="13"/>
  <c r="M15" i="35" s="1"/>
  <c r="M108" i="40"/>
  <c r="M104" i="40"/>
  <c r="M110" i="40"/>
  <c r="L99" i="40"/>
  <c r="M38" i="30"/>
  <c r="L38" i="30"/>
  <c r="M56" i="30"/>
  <c r="M58" i="30" s="1"/>
  <c r="L56" i="30"/>
  <c r="L58" i="30" s="1"/>
  <c r="M49" i="30"/>
  <c r="M44" i="30"/>
  <c r="M40" i="30"/>
  <c r="L49" i="30"/>
  <c r="L44" i="30"/>
  <c r="L40" i="30"/>
  <c r="M58" i="40"/>
  <c r="M99" i="40"/>
  <c r="M125" i="40"/>
  <c r="M123" i="40"/>
  <c r="M126" i="40" s="1"/>
  <c r="L58" i="40"/>
  <c r="M72" i="40"/>
  <c r="M116" i="40"/>
  <c r="M88" i="40"/>
  <c r="L125" i="40"/>
  <c r="L116" i="40"/>
  <c r="L88" i="40"/>
  <c r="R25" i="13" l="1"/>
  <c r="I34" i="4"/>
  <c r="I87" i="4"/>
  <c r="I75" i="2"/>
  <c r="I82" i="2" s="1"/>
  <c r="J74" i="8"/>
  <c r="K74" i="8"/>
  <c r="I120" i="4"/>
  <c r="I26" i="2"/>
  <c r="J50" i="17" s="1"/>
  <c r="L112" i="40"/>
  <c r="J90" i="18"/>
  <c r="AA40" i="17"/>
  <c r="K72" i="25"/>
  <c r="J120" i="4"/>
  <c r="K25" i="2"/>
  <c r="R25" i="35"/>
  <c r="R63" i="35"/>
  <c r="R49" i="35"/>
  <c r="R36" i="35"/>
  <c r="R74" i="35"/>
  <c r="R20" i="37"/>
  <c r="R59" i="37"/>
  <c r="R60" i="37" s="1"/>
  <c r="R23" i="35"/>
  <c r="R65" i="35"/>
  <c r="R76" i="35"/>
  <c r="R51" i="35"/>
  <c r="R38" i="35"/>
  <c r="R22" i="35"/>
  <c r="R24" i="35"/>
  <c r="R31" i="37"/>
  <c r="K58" i="17"/>
  <c r="K106" i="2"/>
  <c r="J30" i="11"/>
  <c r="L12" i="31"/>
  <c r="L48" i="31" s="1"/>
  <c r="M12" i="31"/>
  <c r="M13" i="31" s="1"/>
  <c r="M43" i="31" s="1"/>
  <c r="Q99" i="41"/>
  <c r="O65" i="35"/>
  <c r="S66" i="35" s="1"/>
  <c r="O76" i="35"/>
  <c r="S77" i="35" s="1"/>
  <c r="O23" i="35"/>
  <c r="O25" i="35"/>
  <c r="O24" i="35"/>
  <c r="O26" i="35" s="1"/>
  <c r="O38" i="35"/>
  <c r="P26" i="35"/>
  <c r="O51" i="35"/>
  <c r="Q51" i="35"/>
  <c r="Q65" i="35"/>
  <c r="U66" i="35" s="1"/>
  <c r="Q38" i="35"/>
  <c r="Q76" i="35"/>
  <c r="U77" i="35" s="1"/>
  <c r="Q25" i="35"/>
  <c r="J76" i="8"/>
  <c r="J66" i="2"/>
  <c r="J62" i="26"/>
  <c r="N127" i="41"/>
  <c r="N90" i="41"/>
  <c r="N92" i="41"/>
  <c r="N105" i="41"/>
  <c r="N91" i="41"/>
  <c r="M99" i="41"/>
  <c r="M56" i="31"/>
  <c r="L110" i="41"/>
  <c r="L112" i="41" s="1"/>
  <c r="I254" i="6"/>
  <c r="P82" i="13"/>
  <c r="O26" i="13"/>
  <c r="O28" i="13" s="1"/>
  <c r="S25" i="13"/>
  <c r="J64" i="27"/>
  <c r="K60" i="17" s="1"/>
  <c r="S39" i="31"/>
  <c r="S43" i="31"/>
  <c r="S42" i="31"/>
  <c r="S55" i="31"/>
  <c r="S57" i="31" s="1"/>
  <c r="S63" i="31" s="1"/>
  <c r="N79" i="13"/>
  <c r="I129" i="18"/>
  <c r="I97" i="2"/>
  <c r="L92" i="41"/>
  <c r="N75" i="13"/>
  <c r="N82" i="13" s="1"/>
  <c r="I90" i="18"/>
  <c r="L105" i="40"/>
  <c r="L91" i="40"/>
  <c r="M20" i="13"/>
  <c r="M24" i="13" s="1"/>
  <c r="I30" i="11"/>
  <c r="Z52" i="17" s="1"/>
  <c r="I68" i="4"/>
  <c r="J55" i="17"/>
  <c r="L33" i="31"/>
  <c r="L22" i="31"/>
  <c r="R66" i="13"/>
  <c r="Q23" i="35"/>
  <c r="Q24" i="35"/>
  <c r="Q43" i="31"/>
  <c r="Q42" i="31"/>
  <c r="Q55" i="31"/>
  <c r="Q57" i="31" s="1"/>
  <c r="Q63" i="31" s="1"/>
  <c r="Q34" i="31"/>
  <c r="Q39" i="31"/>
  <c r="J91" i="4"/>
  <c r="J105" i="4"/>
  <c r="J87" i="11"/>
  <c r="L127" i="40"/>
  <c r="L13" i="31"/>
  <c r="L42" i="31" s="1"/>
  <c r="J79" i="2"/>
  <c r="J112" i="4"/>
  <c r="L91" i="41"/>
  <c r="O92" i="35"/>
  <c r="L92" i="40"/>
  <c r="I100" i="4"/>
  <c r="J25" i="2"/>
  <c r="L105" i="41"/>
  <c r="L90" i="41"/>
  <c r="J26" i="2"/>
  <c r="J87" i="4"/>
  <c r="L56" i="31"/>
  <c r="Q92" i="41"/>
  <c r="Q127" i="41"/>
  <c r="Q91" i="41"/>
  <c r="Q90" i="41"/>
  <c r="Q105" i="41"/>
  <c r="M33" i="31"/>
  <c r="Q79" i="13"/>
  <c r="U80" i="13" s="1"/>
  <c r="Q75" i="13"/>
  <c r="Q26" i="13"/>
  <c r="Q98" i="13" s="1"/>
  <c r="K55" i="17"/>
  <c r="M92" i="13"/>
  <c r="L98" i="12"/>
  <c r="N37" i="37"/>
  <c r="N43" i="37"/>
  <c r="M67" i="13"/>
  <c r="Q68" i="13" s="1"/>
  <c r="M69" i="13"/>
  <c r="Q70" i="13" s="1"/>
  <c r="J254" i="6"/>
  <c r="I22" i="8"/>
  <c r="N46" i="37"/>
  <c r="N38" i="37"/>
  <c r="M28" i="35"/>
  <c r="M41" i="35"/>
  <c r="N42" i="37"/>
  <c r="J75" i="2"/>
  <c r="I23" i="8"/>
  <c r="J136" i="6"/>
  <c r="M72" i="35"/>
  <c r="M61" i="35"/>
  <c r="M47" i="35"/>
  <c r="M34" i="35"/>
  <c r="M59" i="13"/>
  <c r="Q60" i="13" s="1"/>
  <c r="M11" i="35"/>
  <c r="L82" i="12"/>
  <c r="P76" i="12"/>
  <c r="I66" i="8"/>
  <c r="I77" i="8"/>
  <c r="I52" i="8"/>
  <c r="I39" i="8"/>
  <c r="I25" i="8"/>
  <c r="P64" i="12"/>
  <c r="J54" i="26"/>
  <c r="M82" i="12"/>
  <c r="Q76" i="12"/>
  <c r="J52" i="26"/>
  <c r="J59" i="26"/>
  <c r="K60" i="26" s="1"/>
  <c r="J20" i="26"/>
  <c r="J31" i="26"/>
  <c r="L71" i="13"/>
  <c r="P72" i="13" s="1"/>
  <c r="L13" i="35"/>
  <c r="M28" i="12"/>
  <c r="M30" i="12" s="1"/>
  <c r="M81" i="12"/>
  <c r="M68" i="35"/>
  <c r="M57" i="35"/>
  <c r="M22" i="31"/>
  <c r="P80" i="12"/>
  <c r="Q64" i="12"/>
  <c r="J58" i="26"/>
  <c r="J90" i="8"/>
  <c r="J72" i="25"/>
  <c r="K149" i="17"/>
  <c r="J72" i="8"/>
  <c r="R86" i="12"/>
  <c r="Q80" i="12"/>
  <c r="I73" i="25"/>
  <c r="I59" i="26"/>
  <c r="I31" i="26"/>
  <c r="I41" i="26" s="1"/>
  <c r="L69" i="13"/>
  <c r="P70" i="13" s="1"/>
  <c r="L9" i="35"/>
  <c r="P101" i="12"/>
  <c r="P103" i="12"/>
  <c r="P102" i="12"/>
  <c r="P85" i="12"/>
  <c r="T86" i="12" s="1"/>
  <c r="P83" i="12"/>
  <c r="T84" i="12" s="1"/>
  <c r="M71" i="13"/>
  <c r="Q72" i="13" s="1"/>
  <c r="M13" i="35"/>
  <c r="L59" i="13"/>
  <c r="P60" i="13" s="1"/>
  <c r="L11" i="35"/>
  <c r="I93" i="8"/>
  <c r="M77" i="34"/>
  <c r="M52" i="34"/>
  <c r="M39" i="34"/>
  <c r="M66" i="34"/>
  <c r="M24" i="34"/>
  <c r="M25" i="34"/>
  <c r="M22" i="34"/>
  <c r="M23" i="34"/>
  <c r="M26" i="34"/>
  <c r="J89" i="8"/>
  <c r="Q88" i="12"/>
  <c r="P66" i="12"/>
  <c r="J73" i="25"/>
  <c r="K74" i="25" s="1"/>
  <c r="R88" i="12"/>
  <c r="R84" i="12"/>
  <c r="I26" i="8"/>
  <c r="J91" i="8"/>
  <c r="J61" i="6"/>
  <c r="O102" i="12"/>
  <c r="O101" i="12"/>
  <c r="O103" i="12"/>
  <c r="O85" i="12"/>
  <c r="S86" i="12" s="1"/>
  <c r="O83" i="12"/>
  <c r="S84" i="12" s="1"/>
  <c r="L72" i="35"/>
  <c r="L47" i="35"/>
  <c r="L61" i="35"/>
  <c r="L34" i="35"/>
  <c r="N76" i="35"/>
  <c r="N51" i="35"/>
  <c r="N65" i="35"/>
  <c r="N38" i="35"/>
  <c r="N23" i="35"/>
  <c r="N24" i="35"/>
  <c r="N22" i="35"/>
  <c r="Q66" i="12"/>
  <c r="J92" i="8"/>
  <c r="N88" i="12"/>
  <c r="L39" i="34"/>
  <c r="L66" i="34"/>
  <c r="L77" i="34"/>
  <c r="L52" i="34"/>
  <c r="L23" i="34"/>
  <c r="L24" i="34"/>
  <c r="L22" i="34"/>
  <c r="L25" i="34"/>
  <c r="L26" i="34"/>
  <c r="J77" i="8"/>
  <c r="M112" i="40"/>
  <c r="M61" i="13"/>
  <c r="M57" i="13"/>
  <c r="L57" i="13"/>
  <c r="L61" i="13"/>
  <c r="R98" i="13"/>
  <c r="R81" i="13"/>
  <c r="R28" i="13"/>
  <c r="J64" i="2"/>
  <c r="M12" i="13"/>
  <c r="N41" i="37"/>
  <c r="N33" i="37"/>
  <c r="N73" i="37" s="1"/>
  <c r="N44" i="37"/>
  <c r="N36" i="37"/>
  <c r="N45" i="37"/>
  <c r="N40" i="37"/>
  <c r="N39" i="37"/>
  <c r="L67" i="13"/>
  <c r="P68" i="13" s="1"/>
  <c r="Q47" i="36"/>
  <c r="L43" i="31"/>
  <c r="M13" i="13"/>
  <c r="Q14" i="13" s="1"/>
  <c r="L92" i="13"/>
  <c r="J92" i="4"/>
  <c r="P81" i="13"/>
  <c r="P28" i="13"/>
  <c r="P98" i="13"/>
  <c r="J127" i="4"/>
  <c r="U34" i="36"/>
  <c r="Q73" i="36"/>
  <c r="U74" i="36" s="1"/>
  <c r="Q41" i="37"/>
  <c r="Q38" i="37"/>
  <c r="Q43" i="37"/>
  <c r="Q71" i="37"/>
  <c r="U72" i="37" s="1"/>
  <c r="Q33" i="37"/>
  <c r="Q39" i="37"/>
  <c r="Q44" i="37"/>
  <c r="Q36" i="37"/>
  <c r="Q40" i="37"/>
  <c r="Q45" i="37"/>
  <c r="Q37" i="37"/>
  <c r="Q42" i="37"/>
  <c r="Q46" i="37"/>
  <c r="I48" i="27"/>
  <c r="I92" i="4"/>
  <c r="I105" i="4"/>
  <c r="I91" i="4"/>
  <c r="I127" i="4"/>
  <c r="I51" i="27"/>
  <c r="I58" i="4"/>
  <c r="I99" i="4"/>
  <c r="O37" i="12"/>
  <c r="O43" i="12" s="1"/>
  <c r="O45" i="12" s="1"/>
  <c r="O47" i="12" s="1"/>
  <c r="O42" i="31"/>
  <c r="O55" i="31"/>
  <c r="O57" i="31" s="1"/>
  <c r="O63" i="31" s="1"/>
  <c r="O34" i="31"/>
  <c r="O39" i="31"/>
  <c r="P105" i="41"/>
  <c r="P90" i="41"/>
  <c r="P91" i="41"/>
  <c r="P92" i="41"/>
  <c r="P127" i="41"/>
  <c r="L28" i="12"/>
  <c r="P58" i="41"/>
  <c r="P99" i="41"/>
  <c r="P41" i="37"/>
  <c r="P38" i="37"/>
  <c r="P43" i="37"/>
  <c r="P71" i="37"/>
  <c r="T72" i="37" s="1"/>
  <c r="P33" i="37"/>
  <c r="P39" i="37"/>
  <c r="P44" i="37"/>
  <c r="P36" i="37"/>
  <c r="P40" i="37"/>
  <c r="P45" i="37"/>
  <c r="P37" i="37"/>
  <c r="P42" i="37"/>
  <c r="P46" i="37"/>
  <c r="P37" i="12"/>
  <c r="P43" i="12" s="1"/>
  <c r="P45" i="12" s="1"/>
  <c r="P47" i="12" s="1"/>
  <c r="M93" i="13"/>
  <c r="L93" i="13"/>
  <c r="R80" i="13"/>
  <c r="O75" i="13"/>
  <c r="S76" i="13" s="1"/>
  <c r="O79" i="13"/>
  <c r="S80" i="13" s="1"/>
  <c r="R76" i="13"/>
  <c r="N28" i="13"/>
  <c r="N81" i="13"/>
  <c r="N98" i="13"/>
  <c r="L99" i="41"/>
  <c r="L58" i="41"/>
  <c r="O41" i="37"/>
  <c r="O36" i="37"/>
  <c r="O40" i="37"/>
  <c r="O45" i="37"/>
  <c r="O37" i="37"/>
  <c r="O42" i="37"/>
  <c r="O46" i="37"/>
  <c r="O38" i="37"/>
  <c r="O43" i="37"/>
  <c r="O71" i="37"/>
  <c r="S72" i="37" s="1"/>
  <c r="O33" i="37"/>
  <c r="S34" i="37" s="1"/>
  <c r="O39" i="37"/>
  <c r="O44" i="37"/>
  <c r="J50" i="27"/>
  <c r="J47" i="27"/>
  <c r="J52" i="27"/>
  <c r="J48" i="27"/>
  <c r="J51" i="27"/>
  <c r="I47" i="27"/>
  <c r="I50" i="27"/>
  <c r="I94" i="4"/>
  <c r="I95" i="4"/>
  <c r="I96" i="4"/>
  <c r="I97" i="4"/>
  <c r="I52" i="27"/>
  <c r="I128" i="4"/>
  <c r="I106" i="4"/>
  <c r="J94" i="4"/>
  <c r="J96" i="4"/>
  <c r="J95" i="4"/>
  <c r="J97" i="4"/>
  <c r="J106" i="4"/>
  <c r="J128" i="4"/>
  <c r="L20" i="13"/>
  <c r="L24" i="13" s="1"/>
  <c r="L94" i="13"/>
  <c r="L13" i="13"/>
  <c r="L19" i="35" s="1"/>
  <c r="L12" i="13"/>
  <c r="M90" i="40"/>
  <c r="M92" i="40"/>
  <c r="M105" i="40"/>
  <c r="M91" i="40"/>
  <c r="M127" i="40"/>
  <c r="L5" i="37"/>
  <c r="M5" i="37"/>
  <c r="L6" i="37"/>
  <c r="M6" i="37"/>
  <c r="L7" i="37"/>
  <c r="M7" i="37"/>
  <c r="L9" i="37"/>
  <c r="M9" i="37"/>
  <c r="Q10" i="37" s="1"/>
  <c r="L11" i="37"/>
  <c r="P12" i="37" s="1"/>
  <c r="M11" i="37"/>
  <c r="Q12" i="37" s="1"/>
  <c r="L13" i="37"/>
  <c r="P14" i="37" s="1"/>
  <c r="M13" i="37"/>
  <c r="Q14" i="37" s="1"/>
  <c r="L15" i="37"/>
  <c r="M15" i="37"/>
  <c r="Q16" i="37" s="1"/>
  <c r="L17" i="37"/>
  <c r="P18" i="37" s="1"/>
  <c r="M17" i="37"/>
  <c r="L21" i="37"/>
  <c r="P22" i="37" s="1"/>
  <c r="M21" i="37"/>
  <c r="Q22" i="37" s="1"/>
  <c r="L23" i="37"/>
  <c r="M23" i="37"/>
  <c r="Q24" i="37" s="1"/>
  <c r="L25" i="37"/>
  <c r="M25" i="37"/>
  <c r="L27" i="37"/>
  <c r="P28" i="37" s="1"/>
  <c r="M27" i="37"/>
  <c r="Q28" i="37" s="1"/>
  <c r="L29" i="37"/>
  <c r="P30" i="37" s="1"/>
  <c r="M29" i="37"/>
  <c r="Q30" i="37" s="1"/>
  <c r="L5" i="36"/>
  <c r="M5" i="36"/>
  <c r="L9" i="36"/>
  <c r="M9" i="36"/>
  <c r="Q10" i="36" s="1"/>
  <c r="L11" i="36"/>
  <c r="P12" i="36" s="1"/>
  <c r="M11" i="36"/>
  <c r="Q12" i="36" s="1"/>
  <c r="L13" i="36"/>
  <c r="P14" i="36" s="1"/>
  <c r="M13" i="36"/>
  <c r="L15" i="36"/>
  <c r="P16" i="36" s="1"/>
  <c r="M15" i="36"/>
  <c r="Q16" i="36" s="1"/>
  <c r="L17" i="36"/>
  <c r="M17" i="36"/>
  <c r="Q18" i="36" s="1"/>
  <c r="L19" i="36"/>
  <c r="P20" i="36" s="1"/>
  <c r="M19" i="36"/>
  <c r="Q20" i="36" s="1"/>
  <c r="L21" i="36"/>
  <c r="M21" i="36"/>
  <c r="L23" i="36"/>
  <c r="M23" i="36"/>
  <c r="Q24" i="36" s="1"/>
  <c r="L25" i="36"/>
  <c r="M25" i="36"/>
  <c r="Q26" i="36" s="1"/>
  <c r="L27" i="36"/>
  <c r="P28" i="36" s="1"/>
  <c r="M27" i="36"/>
  <c r="Q28" i="36" s="1"/>
  <c r="L29" i="36"/>
  <c r="M29" i="36"/>
  <c r="L51" i="36"/>
  <c r="P52" i="36" s="1"/>
  <c r="L5" i="35"/>
  <c r="M5" i="35"/>
  <c r="L6" i="35"/>
  <c r="M6" i="35"/>
  <c r="L82" i="35"/>
  <c r="M80" i="35"/>
  <c r="M81" i="35"/>
  <c r="L84" i="35"/>
  <c r="L5" i="34"/>
  <c r="M5" i="34"/>
  <c r="P56" i="34"/>
  <c r="L88" i="34"/>
  <c r="M88" i="34"/>
  <c r="L89" i="34"/>
  <c r="M89" i="34"/>
  <c r="L90" i="34"/>
  <c r="M90" i="34"/>
  <c r="L91" i="34"/>
  <c r="M91" i="34"/>
  <c r="L92" i="34"/>
  <c r="M92" i="34"/>
  <c r="K61" i="30"/>
  <c r="J61" i="30"/>
  <c r="I61" i="30"/>
  <c r="H61" i="30"/>
  <c r="G61" i="30"/>
  <c r="F61" i="30"/>
  <c r="E61" i="30"/>
  <c r="D61" i="30"/>
  <c r="C61" i="30"/>
  <c r="B61" i="30"/>
  <c r="I93" i="4" l="1"/>
  <c r="J59" i="17" s="1"/>
  <c r="I85" i="11"/>
  <c r="I81" i="2"/>
  <c r="J51" i="17" s="1"/>
  <c r="R26" i="35"/>
  <c r="AA52" i="17"/>
  <c r="K26" i="17"/>
  <c r="I28" i="2"/>
  <c r="I90" i="4" s="1"/>
  <c r="I98" i="2"/>
  <c r="I101" i="11"/>
  <c r="J26" i="17"/>
  <c r="J78" i="8"/>
  <c r="K78" i="8"/>
  <c r="J82" i="2"/>
  <c r="K76" i="2"/>
  <c r="J80" i="2"/>
  <c r="K80" i="2"/>
  <c r="R32" i="37"/>
  <c r="R33" i="37"/>
  <c r="R71" i="37"/>
  <c r="R72" i="37" s="1"/>
  <c r="R42" i="37"/>
  <c r="R43" i="37"/>
  <c r="R36" i="37"/>
  <c r="R44" i="37"/>
  <c r="R46" i="37"/>
  <c r="R38" i="37"/>
  <c r="R39" i="37"/>
  <c r="R45" i="37"/>
  <c r="R37" i="37"/>
  <c r="R40" i="37"/>
  <c r="R66" i="35"/>
  <c r="P73" i="37"/>
  <c r="T74" i="37" s="1"/>
  <c r="T34" i="37"/>
  <c r="Q73" i="37"/>
  <c r="U74" i="37" s="1"/>
  <c r="U34" i="37"/>
  <c r="J41" i="26"/>
  <c r="K32" i="26"/>
  <c r="Q82" i="13"/>
  <c r="U76" i="13"/>
  <c r="R77" i="35"/>
  <c r="R41" i="37"/>
  <c r="J105" i="11"/>
  <c r="J103" i="11"/>
  <c r="J85" i="11"/>
  <c r="K86" i="11" s="1"/>
  <c r="J101" i="11"/>
  <c r="J37" i="11"/>
  <c r="J43" i="11" s="1"/>
  <c r="J106" i="11"/>
  <c r="J83" i="11"/>
  <c r="J102" i="11"/>
  <c r="M48" i="31"/>
  <c r="O81" i="13"/>
  <c r="O98" i="13"/>
  <c r="M51" i="36"/>
  <c r="Q52" i="36" s="1"/>
  <c r="M95" i="13"/>
  <c r="M19" i="37"/>
  <c r="Q20" i="37" s="1"/>
  <c r="M55" i="31"/>
  <c r="M57" i="31" s="1"/>
  <c r="M63" i="31" s="1"/>
  <c r="I83" i="11"/>
  <c r="I88" i="11" s="1"/>
  <c r="M26" i="13"/>
  <c r="M81" i="13" s="1"/>
  <c r="I103" i="11"/>
  <c r="I37" i="11"/>
  <c r="I43" i="11" s="1"/>
  <c r="I45" i="11" s="1"/>
  <c r="I47" i="11" s="1"/>
  <c r="M65" i="13"/>
  <c r="Q66" i="13" s="1"/>
  <c r="I102" i="11"/>
  <c r="J97" i="2"/>
  <c r="K50" i="17"/>
  <c r="Q26" i="35"/>
  <c r="J81" i="2"/>
  <c r="K51" i="17" s="1"/>
  <c r="M99" i="12"/>
  <c r="M42" i="31"/>
  <c r="AA53" i="17"/>
  <c r="J98" i="2"/>
  <c r="L39" i="31"/>
  <c r="L34" i="31"/>
  <c r="L55" i="31"/>
  <c r="L57" i="31" s="1"/>
  <c r="L63" i="31" s="1"/>
  <c r="J93" i="4"/>
  <c r="K59" i="17" s="1"/>
  <c r="J28" i="2"/>
  <c r="J99" i="2" s="1"/>
  <c r="M93" i="34"/>
  <c r="Q28" i="13"/>
  <c r="Q81" i="13"/>
  <c r="J76" i="2"/>
  <c r="J58" i="4"/>
  <c r="J99" i="4"/>
  <c r="J100" i="4"/>
  <c r="Z53" i="17"/>
  <c r="I27" i="8"/>
  <c r="L28" i="35"/>
  <c r="L41" i="35"/>
  <c r="J93" i="8"/>
  <c r="L65" i="35"/>
  <c r="P66" i="35" s="1"/>
  <c r="L76" i="35"/>
  <c r="P77" i="35" s="1"/>
  <c r="L38" i="35"/>
  <c r="L51" i="35"/>
  <c r="M63" i="13"/>
  <c r="Q64" i="13" s="1"/>
  <c r="M19" i="35"/>
  <c r="M23" i="35" s="1"/>
  <c r="K36" i="17"/>
  <c r="P88" i="12"/>
  <c r="L17" i="35"/>
  <c r="L70" i="35"/>
  <c r="L59" i="35"/>
  <c r="L54" i="35"/>
  <c r="P55" i="35" s="1"/>
  <c r="L45" i="35"/>
  <c r="L23" i="35"/>
  <c r="L32" i="35"/>
  <c r="M101" i="12"/>
  <c r="M103" i="12"/>
  <c r="M102" i="12"/>
  <c r="M85" i="12"/>
  <c r="M83" i="12"/>
  <c r="K38" i="17"/>
  <c r="J74" i="25"/>
  <c r="K42" i="17"/>
  <c r="AA42" i="17"/>
  <c r="L57" i="35"/>
  <c r="L68" i="35"/>
  <c r="L22" i="35"/>
  <c r="J60" i="26"/>
  <c r="N26" i="35"/>
  <c r="J71" i="26"/>
  <c r="K72" i="26" s="1"/>
  <c r="J32" i="26"/>
  <c r="J33" i="26"/>
  <c r="K34" i="26" s="1"/>
  <c r="J45" i="26"/>
  <c r="J46" i="26"/>
  <c r="J44" i="26"/>
  <c r="J38" i="26"/>
  <c r="J43" i="26"/>
  <c r="J39" i="26"/>
  <c r="J36" i="26"/>
  <c r="J42" i="26"/>
  <c r="J37" i="26"/>
  <c r="J40" i="26"/>
  <c r="L24" i="35"/>
  <c r="O88" i="12"/>
  <c r="M59" i="35"/>
  <c r="M54" i="35"/>
  <c r="Q55" i="35" s="1"/>
  <c r="M70" i="35"/>
  <c r="M32" i="35"/>
  <c r="M45" i="35"/>
  <c r="I36" i="26"/>
  <c r="I33" i="26"/>
  <c r="I71" i="26"/>
  <c r="I46" i="26"/>
  <c r="I39" i="26"/>
  <c r="I43" i="26"/>
  <c r="I44" i="26"/>
  <c r="I37" i="26"/>
  <c r="I42" i="26"/>
  <c r="I38" i="26"/>
  <c r="I45" i="26"/>
  <c r="I40" i="26"/>
  <c r="M17" i="35"/>
  <c r="P62" i="13"/>
  <c r="P58" i="13"/>
  <c r="Q58" i="13"/>
  <c r="Q62" i="13"/>
  <c r="R30" i="13"/>
  <c r="R99" i="13"/>
  <c r="N47" i="37"/>
  <c r="M51" i="37"/>
  <c r="Q52" i="37" s="1"/>
  <c r="L19" i="37"/>
  <c r="P20" i="37" s="1"/>
  <c r="M63" i="36"/>
  <c r="Q64" i="36" s="1"/>
  <c r="M55" i="36"/>
  <c r="Q56" i="36" s="1"/>
  <c r="L57" i="37"/>
  <c r="P58" i="37" s="1"/>
  <c r="L95" i="13"/>
  <c r="M59" i="36"/>
  <c r="Q60" i="36" s="1"/>
  <c r="M67" i="37"/>
  <c r="Q68" i="37" s="1"/>
  <c r="M67" i="36"/>
  <c r="Q68" i="36" s="1"/>
  <c r="L59" i="36"/>
  <c r="P60" i="36" s="1"/>
  <c r="L67" i="36"/>
  <c r="P68" i="36" s="1"/>
  <c r="M69" i="36"/>
  <c r="Q70" i="36" s="1"/>
  <c r="Q30" i="36"/>
  <c r="M61" i="36"/>
  <c r="Q62" i="36" s="1"/>
  <c r="Q22" i="36"/>
  <c r="M53" i="36"/>
  <c r="Q54" i="36" s="1"/>
  <c r="Q14" i="36"/>
  <c r="P47" i="37"/>
  <c r="L99" i="12"/>
  <c r="L30" i="12"/>
  <c r="L69" i="36"/>
  <c r="P70" i="36" s="1"/>
  <c r="P30" i="36"/>
  <c r="L65" i="36"/>
  <c r="P66" i="36" s="1"/>
  <c r="P26" i="36"/>
  <c r="L61" i="36"/>
  <c r="P62" i="36" s="1"/>
  <c r="P22" i="36"/>
  <c r="L57" i="36"/>
  <c r="P58" i="36" s="1"/>
  <c r="P18" i="36"/>
  <c r="L49" i="36"/>
  <c r="P50" i="36" s="1"/>
  <c r="P10" i="36"/>
  <c r="Q47" i="37"/>
  <c r="P30" i="13"/>
  <c r="P99" i="13"/>
  <c r="L93" i="34"/>
  <c r="P78" i="34"/>
  <c r="L63" i="36"/>
  <c r="P64" i="36" s="1"/>
  <c r="P24" i="36"/>
  <c r="P25" i="13"/>
  <c r="L75" i="13"/>
  <c r="P76" i="13" s="1"/>
  <c r="L79" i="13"/>
  <c r="P80" i="13" s="1"/>
  <c r="M65" i="37"/>
  <c r="Q66" i="37" s="1"/>
  <c r="Q26" i="37"/>
  <c r="M57" i="37"/>
  <c r="Q58" i="37" s="1"/>
  <c r="Q18" i="37"/>
  <c r="O73" i="37"/>
  <c r="S74" i="37" s="1"/>
  <c r="L81" i="35"/>
  <c r="L65" i="37"/>
  <c r="P66" i="37" s="1"/>
  <c r="P26" i="37"/>
  <c r="L49" i="37"/>
  <c r="P50" i="37" s="1"/>
  <c r="P10" i="37"/>
  <c r="P14" i="13"/>
  <c r="Q25" i="13"/>
  <c r="M79" i="13"/>
  <c r="Q80" i="13" s="1"/>
  <c r="M75" i="13"/>
  <c r="N99" i="13"/>
  <c r="N30" i="13"/>
  <c r="O82" i="13"/>
  <c r="O99" i="13"/>
  <c r="O30" i="13"/>
  <c r="M34" i="31"/>
  <c r="M39" i="31"/>
  <c r="L63" i="37"/>
  <c r="P64" i="37" s="1"/>
  <c r="P24" i="37"/>
  <c r="L55" i="37"/>
  <c r="P56" i="37" s="1"/>
  <c r="P16" i="37"/>
  <c r="O47" i="37"/>
  <c r="I98" i="4"/>
  <c r="I130" i="4"/>
  <c r="J98" i="4"/>
  <c r="J130" i="4"/>
  <c r="J86" i="11"/>
  <c r="M83" i="35"/>
  <c r="L83" i="35"/>
  <c r="L80" i="35"/>
  <c r="L65" i="13"/>
  <c r="P66" i="13" s="1"/>
  <c r="L26" i="13"/>
  <c r="L63" i="13"/>
  <c r="M84" i="35"/>
  <c r="M82" i="35"/>
  <c r="M49" i="37"/>
  <c r="Q50" i="37" s="1"/>
  <c r="L31" i="36"/>
  <c r="P32" i="36" s="1"/>
  <c r="P40" i="34"/>
  <c r="P67" i="34"/>
  <c r="P53" i="34"/>
  <c r="M37" i="12"/>
  <c r="M43" i="12" s="1"/>
  <c r="M45" i="12" s="1"/>
  <c r="M47" i="12" s="1"/>
  <c r="M53" i="37"/>
  <c r="Q54" i="37" s="1"/>
  <c r="L67" i="37"/>
  <c r="P68" i="37" s="1"/>
  <c r="M69" i="37"/>
  <c r="Q70" i="37" s="1"/>
  <c r="M31" i="36"/>
  <c r="M40" i="36" s="1"/>
  <c r="M61" i="37"/>
  <c r="Q62" i="37" s="1"/>
  <c r="L51" i="37"/>
  <c r="P52" i="37" s="1"/>
  <c r="L53" i="36"/>
  <c r="P54" i="36" s="1"/>
  <c r="L69" i="37"/>
  <c r="P70" i="37" s="1"/>
  <c r="M63" i="37"/>
  <c r="Q64" i="37" s="1"/>
  <c r="L61" i="37"/>
  <c r="P62" i="37" s="1"/>
  <c r="M55" i="37"/>
  <c r="Q56" i="37" s="1"/>
  <c r="L53" i="37"/>
  <c r="P54" i="37" s="1"/>
  <c r="L55" i="36"/>
  <c r="P56" i="36" s="1"/>
  <c r="M65" i="36"/>
  <c r="Q66" i="36" s="1"/>
  <c r="M57" i="36"/>
  <c r="Q58" i="36" s="1"/>
  <c r="M49" i="36"/>
  <c r="Q50" i="36" s="1"/>
  <c r="Q78" i="34"/>
  <c r="Q67" i="34"/>
  <c r="Q56" i="34"/>
  <c r="Q53" i="34"/>
  <c r="Q40" i="34"/>
  <c r="I129" i="4" l="1"/>
  <c r="I99" i="2"/>
  <c r="I30" i="2"/>
  <c r="J52" i="17" s="1"/>
  <c r="R47" i="37"/>
  <c r="K245" i="17"/>
  <c r="L43" i="17"/>
  <c r="K129" i="17"/>
  <c r="L39" i="17"/>
  <c r="R34" i="37"/>
  <c r="R73" i="37"/>
  <c r="R74" i="37" s="1"/>
  <c r="K130" i="17"/>
  <c r="L37" i="17"/>
  <c r="J84" i="11"/>
  <c r="K84" i="11"/>
  <c r="J45" i="11"/>
  <c r="J47" i="11" s="1"/>
  <c r="J107" i="11" s="1"/>
  <c r="J88" i="11"/>
  <c r="L46" i="36"/>
  <c r="M98" i="13"/>
  <c r="M28" i="13"/>
  <c r="M30" i="13" s="1"/>
  <c r="M83" i="13" s="1"/>
  <c r="M59" i="37"/>
  <c r="Q60" i="37" s="1"/>
  <c r="M31" i="37"/>
  <c r="M45" i="37" s="1"/>
  <c r="L36" i="36"/>
  <c r="I83" i="2"/>
  <c r="I88" i="2" s="1"/>
  <c r="Z45" i="17" s="1"/>
  <c r="Z46" i="17" s="1"/>
  <c r="I85" i="2"/>
  <c r="L45" i="36"/>
  <c r="L44" i="36"/>
  <c r="L39" i="36"/>
  <c r="L33" i="36"/>
  <c r="P34" i="36" s="1"/>
  <c r="L59" i="37"/>
  <c r="P60" i="37" s="1"/>
  <c r="J90" i="4"/>
  <c r="J30" i="2"/>
  <c r="K52" i="17" s="1"/>
  <c r="J129" i="4"/>
  <c r="L31" i="37"/>
  <c r="P32" i="37" s="1"/>
  <c r="M36" i="36"/>
  <c r="M46" i="36"/>
  <c r="Q30" i="13"/>
  <c r="Q99" i="13"/>
  <c r="J47" i="26"/>
  <c r="L26" i="35"/>
  <c r="I47" i="26"/>
  <c r="J72" i="26"/>
  <c r="K40" i="17"/>
  <c r="Q86" i="12"/>
  <c r="I73" i="26"/>
  <c r="J73" i="26"/>
  <c r="K74" i="26" s="1"/>
  <c r="J34" i="26"/>
  <c r="J87" i="2"/>
  <c r="M76" i="35"/>
  <c r="Q77" i="35" s="1"/>
  <c r="M65" i="35"/>
  <c r="Q66" i="35" s="1"/>
  <c r="M38" i="35"/>
  <c r="M51" i="35"/>
  <c r="M24" i="35"/>
  <c r="M22" i="35"/>
  <c r="L101" i="12"/>
  <c r="L103" i="12"/>
  <c r="L102" i="12"/>
  <c r="L83" i="12"/>
  <c r="L85" i="12"/>
  <c r="I101" i="2"/>
  <c r="J53" i="17" s="1"/>
  <c r="I102" i="2"/>
  <c r="M74" i="35"/>
  <c r="M49" i="35"/>
  <c r="M63" i="35"/>
  <c r="M25" i="35"/>
  <c r="M36" i="35"/>
  <c r="K10" i="17"/>
  <c r="M88" i="12"/>
  <c r="Q84" i="12"/>
  <c r="L74" i="35"/>
  <c r="L63" i="35"/>
  <c r="L25" i="35"/>
  <c r="L36" i="35"/>
  <c r="L49" i="35"/>
  <c r="L85" i="35"/>
  <c r="L91" i="35" s="1"/>
  <c r="M85" i="35"/>
  <c r="M88" i="35" s="1"/>
  <c r="M71" i="36"/>
  <c r="Q72" i="36" s="1"/>
  <c r="R83" i="13"/>
  <c r="R88" i="13" s="1"/>
  <c r="R103" i="13"/>
  <c r="R102" i="13"/>
  <c r="R85" i="13"/>
  <c r="R37" i="13"/>
  <c r="R43" i="13" s="1"/>
  <c r="R45" i="13" s="1"/>
  <c r="R47" i="13" s="1"/>
  <c r="R101" i="13"/>
  <c r="M41" i="36"/>
  <c r="M37" i="36"/>
  <c r="M39" i="36"/>
  <c r="L27" i="34"/>
  <c r="L37" i="36"/>
  <c r="L38" i="36"/>
  <c r="L71" i="36"/>
  <c r="P72" i="36" s="1"/>
  <c r="L43" i="36"/>
  <c r="L41" i="36"/>
  <c r="L42" i="36"/>
  <c r="L40" i="36"/>
  <c r="M43" i="36"/>
  <c r="Q32" i="36"/>
  <c r="P101" i="13"/>
  <c r="P103" i="13"/>
  <c r="P85" i="13"/>
  <c r="T86" i="13" s="1"/>
  <c r="P102" i="13"/>
  <c r="P83" i="13"/>
  <c r="P37" i="13"/>
  <c r="P43" i="13" s="1"/>
  <c r="P45" i="13" s="1"/>
  <c r="P47" i="13" s="1"/>
  <c r="L37" i="12"/>
  <c r="L43" i="12" s="1"/>
  <c r="L45" i="12" s="1"/>
  <c r="L47" i="12" s="1"/>
  <c r="O103" i="13"/>
  <c r="O37" i="13"/>
  <c r="O43" i="13" s="1"/>
  <c r="O45" i="13" s="1"/>
  <c r="O47" i="13" s="1"/>
  <c r="O101" i="13"/>
  <c r="O102" i="13"/>
  <c r="O85" i="13"/>
  <c r="S86" i="13" s="1"/>
  <c r="O83" i="13"/>
  <c r="S84" i="13" s="1"/>
  <c r="N37" i="13"/>
  <c r="N43" i="13" s="1"/>
  <c r="N45" i="13" s="1"/>
  <c r="N47" i="13" s="1"/>
  <c r="N103" i="13"/>
  <c r="N85" i="13"/>
  <c r="N83" i="13"/>
  <c r="N102" i="13"/>
  <c r="N101" i="13"/>
  <c r="L82" i="13"/>
  <c r="P64" i="13"/>
  <c r="Q76" i="13"/>
  <c r="M82" i="13"/>
  <c r="L98" i="13"/>
  <c r="L28" i="13"/>
  <c r="L81" i="13"/>
  <c r="M37" i="13"/>
  <c r="M43" i="13" s="1"/>
  <c r="M45" i="13" s="1"/>
  <c r="M47" i="13" s="1"/>
  <c r="M38" i="36"/>
  <c r="M42" i="36"/>
  <c r="M33" i="36"/>
  <c r="M44" i="36"/>
  <c r="M27" i="34"/>
  <c r="M45" i="36"/>
  <c r="L43" i="37"/>
  <c r="M39" i="37"/>
  <c r="M33" i="37"/>
  <c r="L38" i="37"/>
  <c r="L73" i="36"/>
  <c r="P74" i="36" s="1"/>
  <c r="I103" i="2" l="1"/>
  <c r="I37" i="2"/>
  <c r="I43" i="2" s="1"/>
  <c r="I45" i="2" s="1"/>
  <c r="I47" i="2" s="1"/>
  <c r="P88" i="13"/>
  <c r="T84" i="13"/>
  <c r="K244" i="17"/>
  <c r="L41" i="17"/>
  <c r="M103" i="13"/>
  <c r="M85" i="13"/>
  <c r="M102" i="13"/>
  <c r="M101" i="13"/>
  <c r="M99" i="13"/>
  <c r="M43" i="37"/>
  <c r="Q32" i="37"/>
  <c r="M40" i="37"/>
  <c r="M46" i="37"/>
  <c r="M44" i="37"/>
  <c r="M42" i="37"/>
  <c r="M71" i="37"/>
  <c r="Q72" i="37" s="1"/>
  <c r="M37" i="37"/>
  <c r="M36" i="37"/>
  <c r="M38" i="37"/>
  <c r="M41" i="37"/>
  <c r="L45" i="37"/>
  <c r="L39" i="37"/>
  <c r="L36" i="37"/>
  <c r="L40" i="37"/>
  <c r="L44" i="37"/>
  <c r="L37" i="37"/>
  <c r="L33" i="37"/>
  <c r="P34" i="37" s="1"/>
  <c r="L46" i="37"/>
  <c r="L41" i="37"/>
  <c r="L42" i="37"/>
  <c r="L71" i="37"/>
  <c r="P72" i="37" s="1"/>
  <c r="L90" i="35"/>
  <c r="J106" i="2"/>
  <c r="J105" i="2"/>
  <c r="J101" i="2"/>
  <c r="K53" i="17" s="1"/>
  <c r="J37" i="2"/>
  <c r="J43" i="2" s="1"/>
  <c r="J45" i="2" s="1"/>
  <c r="J47" i="2" s="1"/>
  <c r="J107" i="2" s="1"/>
  <c r="J102" i="2"/>
  <c r="J83" i="2"/>
  <c r="K84" i="2" s="1"/>
  <c r="J103" i="2"/>
  <c r="J85" i="2"/>
  <c r="Q37" i="13"/>
  <c r="Q43" i="13" s="1"/>
  <c r="Q45" i="13" s="1"/>
  <c r="Q47" i="13" s="1"/>
  <c r="Q85" i="13"/>
  <c r="U86" i="13" s="1"/>
  <c r="Q103" i="13"/>
  <c r="Q101" i="13"/>
  <c r="Q83" i="13"/>
  <c r="Q102" i="13"/>
  <c r="M26" i="35"/>
  <c r="J74" i="26"/>
  <c r="P86" i="12"/>
  <c r="L88" i="12"/>
  <c r="P84" i="12"/>
  <c r="M87" i="35"/>
  <c r="M91" i="35"/>
  <c r="M89" i="35"/>
  <c r="M90" i="35"/>
  <c r="L89" i="35"/>
  <c r="L87" i="35"/>
  <c r="L88" i="35"/>
  <c r="L47" i="36"/>
  <c r="M73" i="36"/>
  <c r="Q74" i="36" s="1"/>
  <c r="Q34" i="36"/>
  <c r="M73" i="37"/>
  <c r="Q74" i="37" s="1"/>
  <c r="Q34" i="37"/>
  <c r="N88" i="13"/>
  <c r="R84" i="13"/>
  <c r="O88" i="13"/>
  <c r="R86" i="13"/>
  <c r="L30" i="13"/>
  <c r="L99" i="13"/>
  <c r="M47" i="36"/>
  <c r="M88" i="13"/>
  <c r="J86" i="2" l="1"/>
  <c r="K86" i="2"/>
  <c r="Q88" i="13"/>
  <c r="U84" i="13"/>
  <c r="Q86" i="13"/>
  <c r="M47" i="37"/>
  <c r="L47" i="37"/>
  <c r="L73" i="37"/>
  <c r="P74" i="37" s="1"/>
  <c r="J84" i="2"/>
  <c r="J88" i="2"/>
  <c r="AA45" i="17" s="1"/>
  <c r="AA46" i="17" s="1"/>
  <c r="Q84" i="13"/>
  <c r="M92" i="35"/>
  <c r="L92" i="35"/>
  <c r="L102" i="13"/>
  <c r="L85" i="13"/>
  <c r="P86" i="13" s="1"/>
  <c r="L101" i="13"/>
  <c r="L37" i="13"/>
  <c r="L43" i="13" s="1"/>
  <c r="L45" i="13" s="1"/>
  <c r="L47" i="13" s="1"/>
  <c r="L83" i="13"/>
  <c r="L103" i="13"/>
  <c r="B218" i="6"/>
  <c r="B225" i="6"/>
  <c r="L88" i="13" l="1"/>
  <c r="P84" i="13"/>
  <c r="D198" i="6" l="1"/>
  <c r="C198" i="6"/>
  <c r="B198" i="6"/>
  <c r="M192" i="6"/>
  <c r="H192" i="6"/>
  <c r="G192" i="6"/>
  <c r="F192" i="6"/>
  <c r="E192" i="6"/>
  <c r="D192" i="6"/>
  <c r="C192" i="6"/>
  <c r="B192" i="6"/>
  <c r="D183" i="6"/>
  <c r="C183" i="6"/>
  <c r="B183" i="6"/>
  <c r="B127" i="6"/>
  <c r="E198" i="6" l="1"/>
  <c r="E183" i="6"/>
  <c r="G183" i="6"/>
  <c r="I183" i="6"/>
  <c r="E189" i="6"/>
  <c r="E188" i="6"/>
  <c r="H189" i="6"/>
  <c r="G189" i="6"/>
  <c r="F189" i="6"/>
  <c r="H188" i="6"/>
  <c r="G188" i="6"/>
  <c r="F188" i="6"/>
  <c r="H180" i="6"/>
  <c r="H179" i="6"/>
  <c r="G179" i="6"/>
  <c r="F179" i="6"/>
  <c r="E179" i="6"/>
  <c r="F173" i="6"/>
  <c r="H173" i="6"/>
  <c r="G173" i="6"/>
  <c r="H172" i="6" l="1"/>
  <c r="Q169" i="6"/>
  <c r="G172" i="6"/>
  <c r="F172" i="6"/>
  <c r="E173" i="6"/>
  <c r="F198" i="6"/>
  <c r="H198" i="6"/>
  <c r="G180" i="6"/>
  <c r="R169" i="6"/>
  <c r="M183" i="6"/>
  <c r="H183" i="6"/>
  <c r="F183" i="6"/>
  <c r="G198" i="6"/>
  <c r="F180" i="6"/>
  <c r="E180" i="6"/>
  <c r="P171" i="6"/>
  <c r="C160" i="6" l="1"/>
  <c r="E162" i="6"/>
  <c r="C162" i="6" l="1"/>
  <c r="D162" i="6"/>
  <c r="F143" i="6" l="1"/>
  <c r="E143" i="6"/>
  <c r="G143" i="6"/>
  <c r="D143" i="6"/>
  <c r="H143" i="6"/>
  <c r="F162" i="6" l="1"/>
  <c r="G162" i="6"/>
  <c r="H162" i="6"/>
  <c r="A135" i="6"/>
  <c r="A134" i="6"/>
  <c r="E128" i="6"/>
  <c r="D128" i="6"/>
  <c r="C128" i="6"/>
  <c r="B128" i="6"/>
  <c r="F128" i="6"/>
  <c r="G128" i="6"/>
  <c r="I123" i="6"/>
  <c r="I112" i="6" s="1"/>
  <c r="I113" i="6" s="1"/>
  <c r="B116" i="6"/>
  <c r="B108" i="6"/>
  <c r="C100" i="6"/>
  <c r="C103" i="6" s="1"/>
  <c r="B100" i="6"/>
  <c r="H99" i="6"/>
  <c r="H100" i="6"/>
  <c r="H103" i="6" s="1"/>
  <c r="G100" i="6"/>
  <c r="G103" i="6" s="1"/>
  <c r="F100" i="6"/>
  <c r="F103" i="6" s="1"/>
  <c r="E100" i="6"/>
  <c r="E103" i="6" s="1"/>
  <c r="D100" i="6"/>
  <c r="D103" i="6" s="1"/>
  <c r="I81" i="6"/>
  <c r="B80" i="6"/>
  <c r="B81" i="6" s="1"/>
  <c r="B109" i="6" l="1"/>
  <c r="B113" i="6"/>
  <c r="E81" i="6"/>
  <c r="H123" i="6"/>
  <c r="H112" i="6" s="1"/>
  <c r="H113" i="6" s="1"/>
  <c r="C81" i="6"/>
  <c r="G81" i="6"/>
  <c r="H81" i="6"/>
  <c r="D81" i="6"/>
  <c r="F81" i="6"/>
  <c r="C123" i="6"/>
  <c r="C112" i="6" s="1"/>
  <c r="C113" i="6" s="1"/>
  <c r="G123" i="6"/>
  <c r="G112" i="6" s="1"/>
  <c r="G113" i="6" s="1"/>
  <c r="D123" i="6"/>
  <c r="D112" i="6" s="1"/>
  <c r="D113" i="6" s="1"/>
  <c r="E123" i="6"/>
  <c r="E112" i="6" s="1"/>
  <c r="E113" i="6" s="1"/>
  <c r="F123" i="6"/>
  <c r="F112" i="6" s="1"/>
  <c r="F113" i="6" s="1"/>
  <c r="I109" i="6" l="1"/>
  <c r="H109" i="6"/>
  <c r="E109" i="6"/>
  <c r="D109" i="6"/>
  <c r="F109" i="6"/>
  <c r="C109" i="6"/>
  <c r="G109" i="6"/>
  <c r="K43" i="30"/>
  <c r="J43" i="30"/>
  <c r="I43" i="30"/>
  <c r="H43" i="30"/>
  <c r="G43" i="30"/>
  <c r="F43" i="30"/>
  <c r="E43" i="30"/>
  <c r="D43" i="30"/>
  <c r="C43" i="30"/>
  <c r="B43" i="30"/>
  <c r="C43" i="19"/>
  <c r="D43" i="19"/>
  <c r="E43" i="19"/>
  <c r="F43" i="19"/>
  <c r="G43" i="19"/>
  <c r="H43" i="19"/>
  <c r="K5" i="41"/>
  <c r="K6" i="41"/>
  <c r="K7" i="41"/>
  <c r="K8" i="41" s="1"/>
  <c r="K118" i="40"/>
  <c r="J118" i="40"/>
  <c r="H118" i="40"/>
  <c r="G118" i="40"/>
  <c r="F118" i="40"/>
  <c r="D118" i="40"/>
  <c r="C118" i="40"/>
  <c r="K114" i="40"/>
  <c r="J114" i="40"/>
  <c r="B118" i="40"/>
  <c r="K52" i="41" l="1"/>
  <c r="K31" i="41"/>
  <c r="K62" i="41"/>
  <c r="K41" i="41"/>
  <c r="K21" i="41"/>
  <c r="K102" i="41" s="1"/>
  <c r="K47" i="41"/>
  <c r="K27" i="41"/>
  <c r="K56" i="41"/>
  <c r="K37" i="41"/>
  <c r="K84" i="41" s="1"/>
  <c r="K17" i="41"/>
  <c r="K12" i="41"/>
  <c r="K61" i="41"/>
  <c r="K46" i="41"/>
  <c r="K36" i="41"/>
  <c r="K64" i="41"/>
  <c r="K60" i="41"/>
  <c r="K54" i="41"/>
  <c r="K103" i="41" s="1"/>
  <c r="K50" i="41"/>
  <c r="K45" i="41"/>
  <c r="K39" i="41"/>
  <c r="K35" i="41"/>
  <c r="K29" i="41"/>
  <c r="K83" i="41" s="1"/>
  <c r="K25" i="41"/>
  <c r="K19" i="41"/>
  <c r="K15" i="41"/>
  <c r="K10" i="41"/>
  <c r="K65" i="41"/>
  <c r="K55" i="41"/>
  <c r="K51" i="41"/>
  <c r="K40" i="41"/>
  <c r="K114" i="41" s="1"/>
  <c r="K30" i="41"/>
  <c r="K26" i="41"/>
  <c r="K20" i="41"/>
  <c r="K16" i="41"/>
  <c r="K11" i="41"/>
  <c r="K59" i="41"/>
  <c r="K53" i="41"/>
  <c r="K48" i="41"/>
  <c r="K42" i="41"/>
  <c r="K38" i="41"/>
  <c r="K32" i="41"/>
  <c r="K28" i="41"/>
  <c r="K22" i="41"/>
  <c r="K18" i="41"/>
  <c r="K14" i="41"/>
  <c r="K9" i="41"/>
  <c r="K124" i="41"/>
  <c r="K81" i="41" l="1"/>
  <c r="K118" i="41"/>
  <c r="K71" i="41"/>
  <c r="K33" i="41"/>
  <c r="K108" i="41" s="1"/>
  <c r="K57" i="41"/>
  <c r="K111" i="41" s="1"/>
  <c r="K82" i="41"/>
  <c r="K85" i="41" s="1"/>
  <c r="K104" i="41"/>
  <c r="K43" i="41"/>
  <c r="K109" i="41" s="1"/>
  <c r="K23" i="41"/>
  <c r="K49" i="41"/>
  <c r="K70" i="41"/>
  <c r="K88" i="41" s="1"/>
  <c r="K44" i="41" l="1"/>
  <c r="K115" i="41" s="1"/>
  <c r="K117" i="41"/>
  <c r="K116" i="41"/>
  <c r="K79" i="41"/>
  <c r="K72" i="41"/>
  <c r="K90" i="41" s="1"/>
  <c r="H121" i="18"/>
  <c r="G121" i="18"/>
  <c r="F121" i="18"/>
  <c r="E121" i="18"/>
  <c r="D121" i="18"/>
  <c r="C121" i="18"/>
  <c r="H118" i="18"/>
  <c r="G118" i="18"/>
  <c r="F118" i="18"/>
  <c r="E118" i="18"/>
  <c r="D118" i="18"/>
  <c r="C118" i="18"/>
  <c r="B121" i="18"/>
  <c r="B118" i="18"/>
  <c r="B94" i="12"/>
  <c r="M73" i="39"/>
  <c r="L73" i="39"/>
  <c r="K73" i="39"/>
  <c r="J73" i="39"/>
  <c r="B66" i="39"/>
  <c r="M64" i="39"/>
  <c r="Q65" i="39" s="1"/>
  <c r="U66" i="39" s="1"/>
  <c r="Y67" i="39" s="1"/>
  <c r="L64" i="39"/>
  <c r="P65" i="39" s="1"/>
  <c r="T66" i="39" s="1"/>
  <c r="X67" i="39" s="1"/>
  <c r="K64" i="39"/>
  <c r="O65" i="39" s="1"/>
  <c r="S66" i="39" s="1"/>
  <c r="W67" i="39" s="1"/>
  <c r="J64" i="39"/>
  <c r="N65" i="39" s="1"/>
  <c r="R66" i="39" s="1"/>
  <c r="V67" i="39" s="1"/>
  <c r="I64" i="39"/>
  <c r="H64" i="39"/>
  <c r="G64" i="39"/>
  <c r="F64" i="39"/>
  <c r="E64" i="39"/>
  <c r="D64" i="39"/>
  <c r="C64" i="39"/>
  <c r="B64" i="39"/>
  <c r="M62" i="39"/>
  <c r="L62" i="39"/>
  <c r="K62" i="39"/>
  <c r="J62" i="39"/>
  <c r="M48" i="39"/>
  <c r="L48" i="39"/>
  <c r="K48" i="39"/>
  <c r="J48" i="39"/>
  <c r="I48" i="39"/>
  <c r="H48" i="39"/>
  <c r="G48" i="39"/>
  <c r="F48" i="39"/>
  <c r="E48" i="39"/>
  <c r="D48" i="39"/>
  <c r="C48" i="39"/>
  <c r="B48" i="39"/>
  <c r="M47" i="39"/>
  <c r="L47" i="39"/>
  <c r="K47" i="39"/>
  <c r="J47" i="39"/>
  <c r="I47" i="39"/>
  <c r="H47" i="39"/>
  <c r="G47" i="39"/>
  <c r="F47" i="39"/>
  <c r="E47" i="39"/>
  <c r="D47" i="39"/>
  <c r="C47" i="39"/>
  <c r="B47" i="39"/>
  <c r="M41" i="39"/>
  <c r="L41" i="39"/>
  <c r="K41" i="39"/>
  <c r="J41" i="39"/>
  <c r="I41" i="39"/>
  <c r="H41" i="39"/>
  <c r="G41" i="39"/>
  <c r="F41" i="39"/>
  <c r="E41" i="39"/>
  <c r="D41" i="39"/>
  <c r="C41" i="39"/>
  <c r="B41" i="39"/>
  <c r="M35" i="39"/>
  <c r="L35" i="39"/>
  <c r="K35" i="39"/>
  <c r="J35" i="39"/>
  <c r="I35" i="39"/>
  <c r="H35" i="39"/>
  <c r="G35" i="39"/>
  <c r="F35" i="39"/>
  <c r="E35" i="39"/>
  <c r="D35" i="39"/>
  <c r="C35" i="39"/>
  <c r="B35" i="39"/>
  <c r="C34" i="39"/>
  <c r="I65" i="6"/>
  <c r="H48" i="6"/>
  <c r="G48" i="6"/>
  <c r="F48" i="6"/>
  <c r="E48" i="6"/>
  <c r="D48" i="6"/>
  <c r="C48" i="6"/>
  <c r="B48" i="6"/>
  <c r="H47" i="6"/>
  <c r="G47" i="6"/>
  <c r="F47" i="6"/>
  <c r="E47" i="6"/>
  <c r="D47" i="6"/>
  <c r="C47" i="6"/>
  <c r="B47" i="6"/>
  <c r="H46" i="6"/>
  <c r="G46" i="6"/>
  <c r="F46" i="6"/>
  <c r="E46" i="6"/>
  <c r="D46" i="6"/>
  <c r="C46" i="6"/>
  <c r="H44" i="6"/>
  <c r="G44" i="6"/>
  <c r="F44" i="6"/>
  <c r="E44" i="6"/>
  <c r="D44" i="6"/>
  <c r="C44" i="6"/>
  <c r="H41" i="6"/>
  <c r="G41" i="6"/>
  <c r="F41" i="6"/>
  <c r="E41" i="6"/>
  <c r="D41" i="6"/>
  <c r="C41" i="6"/>
  <c r="B41" i="6"/>
  <c r="H40" i="6"/>
  <c r="G40" i="6"/>
  <c r="F40" i="6"/>
  <c r="E40" i="6"/>
  <c r="D40" i="6"/>
  <c r="C40" i="6"/>
  <c r="H38" i="6"/>
  <c r="G38" i="6"/>
  <c r="F38" i="6"/>
  <c r="E38" i="6"/>
  <c r="D38" i="6"/>
  <c r="C38" i="6"/>
  <c r="H35" i="6"/>
  <c r="Y44" i="17" s="1"/>
  <c r="G35" i="6"/>
  <c r="X44" i="17" s="1"/>
  <c r="F35" i="6"/>
  <c r="W44" i="17" s="1"/>
  <c r="E35" i="6"/>
  <c r="V44" i="17" s="1"/>
  <c r="D35" i="6"/>
  <c r="U44" i="17" s="1"/>
  <c r="C35" i="6"/>
  <c r="T44" i="17" s="1"/>
  <c r="B35" i="6"/>
  <c r="S44" i="17" s="1"/>
  <c r="H34" i="6"/>
  <c r="G34" i="6"/>
  <c r="F34" i="6"/>
  <c r="E34" i="6"/>
  <c r="D34" i="6"/>
  <c r="C34" i="6"/>
  <c r="H32" i="6"/>
  <c r="G32" i="6"/>
  <c r="F32" i="6"/>
  <c r="E32" i="6"/>
  <c r="D32" i="6"/>
  <c r="C32" i="6"/>
  <c r="K127" i="41" l="1"/>
  <c r="C12" i="19"/>
  <c r="D12" i="19"/>
  <c r="E12" i="19"/>
  <c r="F12" i="19"/>
  <c r="G12" i="19"/>
  <c r="H12" i="19"/>
  <c r="B12" i="19"/>
  <c r="I57" i="30" l="1"/>
  <c r="I62" i="30"/>
  <c r="A1" i="41"/>
  <c r="K5" i="31"/>
  <c r="K6" i="31"/>
  <c r="K7" i="31"/>
  <c r="K14" i="31" s="1"/>
  <c r="K60" i="31"/>
  <c r="A1" i="31"/>
  <c r="K56" i="30"/>
  <c r="J56" i="30"/>
  <c r="K5" i="30"/>
  <c r="K57" i="30"/>
  <c r="K62" i="30"/>
  <c r="K5" i="40"/>
  <c r="K13" i="41"/>
  <c r="K24" i="41" s="1"/>
  <c r="K57" i="40"/>
  <c r="K111" i="40" s="1"/>
  <c r="K70" i="40"/>
  <c r="K71" i="40"/>
  <c r="K81" i="40"/>
  <c r="K82" i="40"/>
  <c r="K83" i="40"/>
  <c r="K84" i="40"/>
  <c r="K102" i="40"/>
  <c r="K103" i="40"/>
  <c r="A1" i="35"/>
  <c r="A1" i="13"/>
  <c r="K5" i="37"/>
  <c r="K6" i="37"/>
  <c r="K7" i="37"/>
  <c r="K5" i="36"/>
  <c r="K9" i="36"/>
  <c r="O10" i="36" s="1"/>
  <c r="K11" i="36"/>
  <c r="K13" i="36"/>
  <c r="O14" i="36" s="1"/>
  <c r="K15" i="36"/>
  <c r="O16" i="36" s="1"/>
  <c r="K17" i="36"/>
  <c r="O18" i="36" s="1"/>
  <c r="K21" i="36"/>
  <c r="O22" i="36" s="1"/>
  <c r="K23" i="36"/>
  <c r="K25" i="36"/>
  <c r="O26" i="36" s="1"/>
  <c r="K27" i="36"/>
  <c r="K29" i="36"/>
  <c r="O30" i="36" s="1"/>
  <c r="K5" i="35"/>
  <c r="K6" i="35"/>
  <c r="K81" i="35"/>
  <c r="K5" i="34"/>
  <c r="K88" i="34"/>
  <c r="K89" i="34"/>
  <c r="K90" i="34"/>
  <c r="K91" i="34"/>
  <c r="K92" i="34"/>
  <c r="K5" i="13"/>
  <c r="K6" i="13"/>
  <c r="K7" i="13"/>
  <c r="K50" i="13"/>
  <c r="O51" i="13" s="1"/>
  <c r="K52" i="13"/>
  <c r="O53" i="13" s="1"/>
  <c r="K55" i="13"/>
  <c r="K12" i="12"/>
  <c r="K5" i="12"/>
  <c r="K20" i="12"/>
  <c r="K24" i="12" s="1"/>
  <c r="O25" i="12" l="1"/>
  <c r="K79" i="12"/>
  <c r="K75" i="12"/>
  <c r="K8" i="13"/>
  <c r="K9" i="35" s="1"/>
  <c r="K9" i="13"/>
  <c r="K63" i="36"/>
  <c r="O64" i="36" s="1"/>
  <c r="O24" i="36"/>
  <c r="K51" i="36"/>
  <c r="O52" i="36" s="1"/>
  <c r="O12" i="36"/>
  <c r="K67" i="36"/>
  <c r="O68" i="36" s="1"/>
  <c r="O28" i="36"/>
  <c r="K35" i="31"/>
  <c r="K25" i="31"/>
  <c r="K56" i="31" s="1"/>
  <c r="K20" i="31"/>
  <c r="K29" i="31"/>
  <c r="K16" i="31"/>
  <c r="K39" i="13"/>
  <c r="K91" i="13" s="1"/>
  <c r="K83" i="35"/>
  <c r="K34" i="13"/>
  <c r="K21" i="13"/>
  <c r="K21" i="37" s="1"/>
  <c r="K44" i="13"/>
  <c r="K16" i="13"/>
  <c r="K11" i="37" s="1"/>
  <c r="K104" i="40"/>
  <c r="K93" i="34"/>
  <c r="K29" i="13"/>
  <c r="K29" i="37" s="1"/>
  <c r="K26" i="31"/>
  <c r="K17" i="31"/>
  <c r="K30" i="31"/>
  <c r="K21" i="31"/>
  <c r="K11" i="31"/>
  <c r="K38" i="13"/>
  <c r="K90" i="13" s="1"/>
  <c r="K41" i="13"/>
  <c r="K36" i="13"/>
  <c r="K32" i="13"/>
  <c r="K23" i="13"/>
  <c r="K25" i="37" s="1"/>
  <c r="O26" i="37" s="1"/>
  <c r="K18" i="13"/>
  <c r="K15" i="37" s="1"/>
  <c r="K11" i="13"/>
  <c r="K15" i="35" s="1"/>
  <c r="O56" i="34"/>
  <c r="K32" i="31"/>
  <c r="K28" i="31"/>
  <c r="K24" i="31"/>
  <c r="K19" i="31"/>
  <c r="K15" i="31"/>
  <c r="K42" i="13"/>
  <c r="K33" i="13"/>
  <c r="K27" i="13"/>
  <c r="K19" i="13"/>
  <c r="K17" i="37" s="1"/>
  <c r="K15" i="13"/>
  <c r="K9" i="37" s="1"/>
  <c r="O10" i="37" s="1"/>
  <c r="K46" i="13"/>
  <c r="K40" i="13"/>
  <c r="K35" i="13"/>
  <c r="K31" i="13"/>
  <c r="K22" i="13"/>
  <c r="K23" i="37" s="1"/>
  <c r="K17" i="13"/>
  <c r="K13" i="37" s="1"/>
  <c r="O14" i="37" s="1"/>
  <c r="K10" i="13"/>
  <c r="K31" i="31"/>
  <c r="K27" i="31"/>
  <c r="K61" i="31" s="1"/>
  <c r="K62" i="31" s="1"/>
  <c r="K23" i="31"/>
  <c r="K18" i="31"/>
  <c r="K44" i="30"/>
  <c r="K49" i="30"/>
  <c r="J49" i="30"/>
  <c r="J44" i="30"/>
  <c r="K88" i="40"/>
  <c r="K79" i="40"/>
  <c r="K116" i="40"/>
  <c r="K109" i="40"/>
  <c r="K117" i="40"/>
  <c r="K110" i="41"/>
  <c r="K112" i="41" s="1"/>
  <c r="K34" i="41"/>
  <c r="K46" i="30"/>
  <c r="K84" i="35"/>
  <c r="K80" i="35"/>
  <c r="K82" i="35"/>
  <c r="K8" i="31"/>
  <c r="K45" i="31"/>
  <c r="I63" i="30"/>
  <c r="K85" i="40"/>
  <c r="K19" i="36"/>
  <c r="K55" i="36"/>
  <c r="O56" i="36" s="1"/>
  <c r="K54" i="13"/>
  <c r="K10" i="31"/>
  <c r="K9" i="31"/>
  <c r="K63" i="30"/>
  <c r="K58" i="30"/>
  <c r="K40" i="30"/>
  <c r="K115" i="40"/>
  <c r="K108" i="40"/>
  <c r="K72" i="40"/>
  <c r="K69" i="36"/>
  <c r="O70" i="36" s="1"/>
  <c r="K65" i="36"/>
  <c r="O66" i="36" s="1"/>
  <c r="K61" i="36"/>
  <c r="O62" i="36" s="1"/>
  <c r="K57" i="36"/>
  <c r="O58" i="36" s="1"/>
  <c r="K53" i="36"/>
  <c r="O54" i="36" s="1"/>
  <c r="K49" i="36"/>
  <c r="O50" i="36" s="1"/>
  <c r="K13" i="12"/>
  <c r="K65" i="37" l="1"/>
  <c r="O66" i="37" s="1"/>
  <c r="K67" i="13"/>
  <c r="O68" i="13" s="1"/>
  <c r="K69" i="13"/>
  <c r="O70" i="13" s="1"/>
  <c r="K28" i="35"/>
  <c r="K41" i="35"/>
  <c r="K68" i="35"/>
  <c r="K57" i="35"/>
  <c r="K71" i="13"/>
  <c r="O72" i="13" s="1"/>
  <c r="K13" i="35"/>
  <c r="O76" i="12"/>
  <c r="O80" i="12"/>
  <c r="K63" i="12"/>
  <c r="K65" i="12"/>
  <c r="K19" i="34"/>
  <c r="K72" i="35"/>
  <c r="K61" i="35"/>
  <c r="K34" i="35"/>
  <c r="K47" i="35"/>
  <c r="K59" i="13"/>
  <c r="O60" i="13" s="1"/>
  <c r="K11" i="35"/>
  <c r="K57" i="13"/>
  <c r="K61" i="13"/>
  <c r="O14" i="12"/>
  <c r="K31" i="36"/>
  <c r="K43" i="36" s="1"/>
  <c r="O20" i="36"/>
  <c r="K57" i="37"/>
  <c r="O58" i="37" s="1"/>
  <c r="O18" i="37"/>
  <c r="K61" i="37"/>
  <c r="O62" i="37" s="1"/>
  <c r="O22" i="37"/>
  <c r="K93" i="13"/>
  <c r="K63" i="37"/>
  <c r="O64" i="37" s="1"/>
  <c r="O24" i="37"/>
  <c r="K69" i="37"/>
  <c r="O70" i="37" s="1"/>
  <c r="O30" i="37"/>
  <c r="K51" i="37"/>
  <c r="O52" i="37" s="1"/>
  <c r="O12" i="37"/>
  <c r="K55" i="37"/>
  <c r="O56" i="37" s="1"/>
  <c r="O16" i="37"/>
  <c r="K49" i="37"/>
  <c r="O50" i="37" s="1"/>
  <c r="K53" i="37"/>
  <c r="O54" i="37" s="1"/>
  <c r="K92" i="13"/>
  <c r="I73" i="39"/>
  <c r="K94" i="13"/>
  <c r="K20" i="13"/>
  <c r="K19" i="37" s="1"/>
  <c r="K77" i="13"/>
  <c r="O78" i="13" s="1"/>
  <c r="K85" i="35"/>
  <c r="K22" i="31"/>
  <c r="K13" i="13"/>
  <c r="K19" i="35" s="1"/>
  <c r="K12" i="13"/>
  <c r="K27" i="37"/>
  <c r="K33" i="31"/>
  <c r="K90" i="40"/>
  <c r="K58" i="41"/>
  <c r="K59" i="36"/>
  <c r="O60" i="36" s="1"/>
  <c r="K12" i="31"/>
  <c r="K127" i="40"/>
  <c r="K110" i="40"/>
  <c r="K112" i="40" s="1"/>
  <c r="K58" i="40"/>
  <c r="K26" i="12"/>
  <c r="K81" i="12" s="1"/>
  <c r="M71" i="39"/>
  <c r="L71" i="39"/>
  <c r="K71" i="39"/>
  <c r="J71" i="39"/>
  <c r="I71" i="39"/>
  <c r="H71" i="39"/>
  <c r="G71" i="39"/>
  <c r="F71" i="39"/>
  <c r="E71" i="39"/>
  <c r="D71" i="39"/>
  <c r="C71" i="39"/>
  <c r="M46" i="39"/>
  <c r="L46" i="39"/>
  <c r="K46" i="39"/>
  <c r="J46" i="39"/>
  <c r="I46" i="39"/>
  <c r="H46" i="39"/>
  <c r="G46" i="39"/>
  <c r="F46" i="39"/>
  <c r="D46" i="39"/>
  <c r="C46" i="39"/>
  <c r="M44" i="39"/>
  <c r="L44" i="39"/>
  <c r="K44" i="39"/>
  <c r="J44" i="39"/>
  <c r="I44" i="39"/>
  <c r="H44" i="39"/>
  <c r="G44" i="39"/>
  <c r="F44" i="39"/>
  <c r="D44" i="39"/>
  <c r="C44" i="39"/>
  <c r="M40" i="39"/>
  <c r="L40" i="39"/>
  <c r="K40" i="39"/>
  <c r="J40" i="39"/>
  <c r="I40" i="39"/>
  <c r="H40" i="39"/>
  <c r="G40" i="39"/>
  <c r="F40" i="39"/>
  <c r="D40" i="39"/>
  <c r="C40" i="39"/>
  <c r="M38" i="39"/>
  <c r="L38" i="39"/>
  <c r="K38" i="39"/>
  <c r="J38" i="39"/>
  <c r="I38" i="39"/>
  <c r="H38" i="39"/>
  <c r="G38" i="39"/>
  <c r="F38" i="39"/>
  <c r="D38" i="39"/>
  <c r="C38" i="39"/>
  <c r="M34" i="39"/>
  <c r="L34" i="39"/>
  <c r="K34" i="39"/>
  <c r="J34" i="39"/>
  <c r="I34" i="39"/>
  <c r="H34" i="39"/>
  <c r="G34" i="39"/>
  <c r="F34" i="39"/>
  <c r="D34" i="39"/>
  <c r="M32" i="39"/>
  <c r="L32" i="39"/>
  <c r="K32" i="39"/>
  <c r="J32" i="39"/>
  <c r="I32" i="39"/>
  <c r="H32" i="39"/>
  <c r="G32" i="39"/>
  <c r="F32" i="39"/>
  <c r="D32" i="39"/>
  <c r="C32" i="39"/>
  <c r="M28" i="39"/>
  <c r="L28" i="39"/>
  <c r="K28" i="39"/>
  <c r="J28" i="39"/>
  <c r="I28" i="39"/>
  <c r="H28" i="39"/>
  <c r="G28" i="39"/>
  <c r="F28" i="39"/>
  <c r="E28" i="39"/>
  <c r="D28" i="39"/>
  <c r="C28" i="39"/>
  <c r="M23" i="39"/>
  <c r="L23" i="39"/>
  <c r="K23" i="39"/>
  <c r="J23" i="39"/>
  <c r="I23" i="39"/>
  <c r="H23" i="39"/>
  <c r="G23" i="39"/>
  <c r="F23" i="39"/>
  <c r="E23" i="39"/>
  <c r="D23" i="39"/>
  <c r="C23" i="39"/>
  <c r="M21" i="39"/>
  <c r="L21" i="39"/>
  <c r="K21" i="39"/>
  <c r="J21" i="39"/>
  <c r="I21" i="39"/>
  <c r="H21" i="39"/>
  <c r="G21" i="39"/>
  <c r="F21" i="39"/>
  <c r="E21" i="39"/>
  <c r="D21" i="39"/>
  <c r="C21" i="39"/>
  <c r="M17" i="39"/>
  <c r="L17" i="39"/>
  <c r="K17" i="39"/>
  <c r="J17" i="39"/>
  <c r="I17" i="39"/>
  <c r="H17" i="39"/>
  <c r="G17" i="39"/>
  <c r="F17" i="39"/>
  <c r="E17" i="39"/>
  <c r="D17" i="39"/>
  <c r="C17" i="39"/>
  <c r="M15" i="39"/>
  <c r="L15" i="39"/>
  <c r="K15" i="39"/>
  <c r="J15" i="39"/>
  <c r="I15" i="39"/>
  <c r="H15" i="39"/>
  <c r="G15" i="39"/>
  <c r="F15" i="39"/>
  <c r="E15" i="39"/>
  <c r="D15" i="39"/>
  <c r="C15" i="39"/>
  <c r="A1" i="30"/>
  <c r="A1" i="40"/>
  <c r="A1" i="12"/>
  <c r="A1" i="37"/>
  <c r="A1" i="36"/>
  <c r="A1" i="34"/>
  <c r="B3" i="39"/>
  <c r="B2" i="39"/>
  <c r="B2" i="41" s="1"/>
  <c r="A1" i="39"/>
  <c r="B71" i="18"/>
  <c r="C71" i="18"/>
  <c r="D71" i="18"/>
  <c r="E71" i="18"/>
  <c r="F71" i="18"/>
  <c r="G71" i="18"/>
  <c r="H71" i="18"/>
  <c r="E103" i="40"/>
  <c r="E84" i="40"/>
  <c r="E83" i="40"/>
  <c r="E102" i="40"/>
  <c r="I84" i="40"/>
  <c r="I102" i="40"/>
  <c r="H13" i="18"/>
  <c r="G13" i="18"/>
  <c r="F13" i="18"/>
  <c r="E13" i="18"/>
  <c r="D13" i="18"/>
  <c r="C13" i="18"/>
  <c r="L65" i="39"/>
  <c r="P66" i="39" s="1"/>
  <c r="T67" i="39" s="1"/>
  <c r="D65" i="6"/>
  <c r="E65" i="6"/>
  <c r="J60" i="31"/>
  <c r="J7" i="31"/>
  <c r="J15" i="31" s="1"/>
  <c r="I7" i="31"/>
  <c r="I28" i="31" s="1"/>
  <c r="H7" i="31"/>
  <c r="H30" i="31" s="1"/>
  <c r="G7" i="31"/>
  <c r="F7" i="31"/>
  <c r="F16" i="31" s="1"/>
  <c r="E7" i="31"/>
  <c r="E26" i="31" s="1"/>
  <c r="D7" i="31"/>
  <c r="D31" i="31" s="1"/>
  <c r="C7" i="31"/>
  <c r="C25" i="31" s="1"/>
  <c r="B7" i="31"/>
  <c r="B17" i="31" s="1"/>
  <c r="C6" i="31"/>
  <c r="D6" i="31"/>
  <c r="E6" i="31"/>
  <c r="F6" i="31"/>
  <c r="G6" i="31"/>
  <c r="H6" i="31"/>
  <c r="I6" i="31"/>
  <c r="J6" i="31"/>
  <c r="C5" i="31"/>
  <c r="D5" i="31"/>
  <c r="E5" i="31"/>
  <c r="F5" i="31"/>
  <c r="G5" i="31"/>
  <c r="H5" i="31"/>
  <c r="I5" i="31"/>
  <c r="J5" i="31"/>
  <c r="B6" i="31"/>
  <c r="B5" i="31"/>
  <c r="B5" i="30"/>
  <c r="I56" i="30"/>
  <c r="D56" i="30"/>
  <c r="J5" i="30"/>
  <c r="I5" i="30"/>
  <c r="H5" i="30"/>
  <c r="G5" i="30"/>
  <c r="F5" i="30"/>
  <c r="E5" i="30"/>
  <c r="D5" i="30"/>
  <c r="C5" i="30"/>
  <c r="M5" i="27"/>
  <c r="H5" i="27"/>
  <c r="G5" i="27"/>
  <c r="F5" i="27"/>
  <c r="E5" i="27"/>
  <c r="D5" i="27"/>
  <c r="C5" i="27"/>
  <c r="M6" i="27"/>
  <c r="H6" i="27"/>
  <c r="G6" i="27"/>
  <c r="F6" i="27"/>
  <c r="E6" i="27"/>
  <c r="D6" i="27"/>
  <c r="C6" i="27"/>
  <c r="H28" i="27"/>
  <c r="G7" i="27"/>
  <c r="G33" i="27" s="1"/>
  <c r="F7" i="27"/>
  <c r="F36" i="27" s="1"/>
  <c r="E7" i="27"/>
  <c r="E8" i="27" s="1"/>
  <c r="D7" i="27"/>
  <c r="D28" i="27" s="1"/>
  <c r="C7" i="27"/>
  <c r="C36" i="27" s="1"/>
  <c r="B7" i="27"/>
  <c r="B15" i="27" s="1"/>
  <c r="B6" i="27"/>
  <c r="B5" i="27"/>
  <c r="M3" i="27"/>
  <c r="A1" i="27"/>
  <c r="A1" i="19"/>
  <c r="M5" i="19"/>
  <c r="H5" i="19"/>
  <c r="G5" i="19"/>
  <c r="F5" i="19"/>
  <c r="E5" i="19"/>
  <c r="D5" i="19"/>
  <c r="C5" i="19"/>
  <c r="B5" i="19"/>
  <c r="M3" i="19"/>
  <c r="J7" i="41"/>
  <c r="J25" i="41" s="1"/>
  <c r="I7" i="41"/>
  <c r="H7" i="41"/>
  <c r="H63" i="41" s="1"/>
  <c r="G7" i="41"/>
  <c r="G64" i="41" s="1"/>
  <c r="F7" i="41"/>
  <c r="F11" i="41" s="1"/>
  <c r="E7" i="41"/>
  <c r="D7" i="41"/>
  <c r="D124" i="41" s="1"/>
  <c r="C7" i="41"/>
  <c r="C64" i="41" s="1"/>
  <c r="B7" i="41"/>
  <c r="B53" i="41" s="1"/>
  <c r="J6" i="41"/>
  <c r="I6" i="41"/>
  <c r="H6" i="41"/>
  <c r="G6" i="41"/>
  <c r="F6" i="41"/>
  <c r="E6" i="41"/>
  <c r="D6" i="41"/>
  <c r="C6" i="41"/>
  <c r="B6" i="41"/>
  <c r="J5" i="41"/>
  <c r="I5" i="41"/>
  <c r="H5" i="41"/>
  <c r="G5" i="41"/>
  <c r="F5" i="41"/>
  <c r="E5" i="41"/>
  <c r="D5" i="41"/>
  <c r="C5" i="41"/>
  <c r="B5" i="41"/>
  <c r="H46" i="4"/>
  <c r="G7" i="4"/>
  <c r="G54" i="4" s="1"/>
  <c r="G103" i="4" s="1"/>
  <c r="F7" i="4"/>
  <c r="F60" i="4" s="1"/>
  <c r="E7" i="4"/>
  <c r="E59" i="4" s="1"/>
  <c r="D7" i="4"/>
  <c r="D9" i="4" s="1"/>
  <c r="C7" i="4"/>
  <c r="C8" i="4" s="1"/>
  <c r="B7" i="4"/>
  <c r="B15" i="4" s="1"/>
  <c r="B233" i="6" s="1"/>
  <c r="M6" i="4"/>
  <c r="H6" i="4"/>
  <c r="G6" i="4"/>
  <c r="F6" i="4"/>
  <c r="E6" i="4"/>
  <c r="D6" i="4"/>
  <c r="C6" i="4"/>
  <c r="B6" i="4"/>
  <c r="M5" i="4"/>
  <c r="H5" i="4"/>
  <c r="G5" i="4"/>
  <c r="F5" i="4"/>
  <c r="E5" i="4"/>
  <c r="D5" i="4"/>
  <c r="C5" i="4"/>
  <c r="B5" i="4"/>
  <c r="M3" i="4"/>
  <c r="J102" i="40"/>
  <c r="J103" i="40"/>
  <c r="J81" i="40"/>
  <c r="J82" i="40"/>
  <c r="J83" i="40"/>
  <c r="J84" i="40"/>
  <c r="J71" i="40"/>
  <c r="J70" i="40"/>
  <c r="J66" i="40"/>
  <c r="J125" i="40" s="1"/>
  <c r="J57" i="40"/>
  <c r="J111" i="40" s="1"/>
  <c r="J5" i="40"/>
  <c r="I5" i="40"/>
  <c r="H5" i="40"/>
  <c r="G5" i="40"/>
  <c r="F5" i="40"/>
  <c r="E5" i="40"/>
  <c r="D5" i="40"/>
  <c r="C5" i="40"/>
  <c r="H103" i="40"/>
  <c r="G103" i="40"/>
  <c r="F103" i="40"/>
  <c r="D103" i="40"/>
  <c r="C103" i="40"/>
  <c r="B103" i="40"/>
  <c r="H102" i="40"/>
  <c r="G102" i="40"/>
  <c r="F102" i="40"/>
  <c r="D102" i="40"/>
  <c r="C102" i="40"/>
  <c r="B102" i="40"/>
  <c r="H84" i="40"/>
  <c r="G84" i="40"/>
  <c r="F84" i="40"/>
  <c r="D84" i="40"/>
  <c r="C84" i="40"/>
  <c r="B84" i="40"/>
  <c r="H83" i="40"/>
  <c r="G83" i="40"/>
  <c r="F83" i="40"/>
  <c r="D83" i="40"/>
  <c r="C83" i="40"/>
  <c r="B83" i="40"/>
  <c r="H82" i="40"/>
  <c r="G82" i="40"/>
  <c r="F82" i="40"/>
  <c r="D82" i="40"/>
  <c r="C82" i="40"/>
  <c r="B82" i="40"/>
  <c r="H81" i="40"/>
  <c r="G81" i="40"/>
  <c r="F81" i="40"/>
  <c r="D81" i="40"/>
  <c r="C81" i="40"/>
  <c r="B81" i="40"/>
  <c r="H71" i="40"/>
  <c r="G71" i="40"/>
  <c r="F71" i="40"/>
  <c r="D71" i="40"/>
  <c r="C71" i="40"/>
  <c r="B71" i="40"/>
  <c r="H70" i="40"/>
  <c r="G70" i="40"/>
  <c r="F70" i="40"/>
  <c r="D70" i="40"/>
  <c r="C70" i="40"/>
  <c r="B70" i="40"/>
  <c r="H66" i="40"/>
  <c r="H125" i="40" s="1"/>
  <c r="G66" i="40"/>
  <c r="G123" i="40" s="1"/>
  <c r="G126" i="40" s="1"/>
  <c r="F66" i="40"/>
  <c r="F123" i="40" s="1"/>
  <c r="F126" i="40" s="1"/>
  <c r="D66" i="40"/>
  <c r="C66" i="40"/>
  <c r="B66" i="40"/>
  <c r="B123" i="40" s="1"/>
  <c r="B126" i="40" s="1"/>
  <c r="H57" i="40"/>
  <c r="H111" i="40" s="1"/>
  <c r="G57" i="40"/>
  <c r="G111" i="40" s="1"/>
  <c r="F57" i="40"/>
  <c r="F111" i="40" s="1"/>
  <c r="D57" i="40"/>
  <c r="D111" i="40" s="1"/>
  <c r="C57" i="40"/>
  <c r="C111" i="40" s="1"/>
  <c r="B57" i="40"/>
  <c r="B111" i="40" s="1"/>
  <c r="H117" i="40"/>
  <c r="G117" i="40"/>
  <c r="D117" i="40"/>
  <c r="C117" i="40"/>
  <c r="B117" i="40"/>
  <c r="B116" i="40"/>
  <c r="B5" i="40"/>
  <c r="M5" i="18"/>
  <c r="H5" i="18"/>
  <c r="G5" i="18"/>
  <c r="F5" i="18"/>
  <c r="E5" i="18"/>
  <c r="D5" i="18"/>
  <c r="C5" i="18"/>
  <c r="B5" i="18"/>
  <c r="M3" i="18"/>
  <c r="A1" i="18"/>
  <c r="C60" i="41"/>
  <c r="D115" i="40"/>
  <c r="H108" i="40"/>
  <c r="D109" i="40"/>
  <c r="A1" i="11"/>
  <c r="A1" i="4"/>
  <c r="J55" i="13"/>
  <c r="I55" i="13"/>
  <c r="H55" i="13"/>
  <c r="G55" i="13"/>
  <c r="F55" i="13"/>
  <c r="F59" i="13" s="1"/>
  <c r="E55" i="13"/>
  <c r="E59" i="13" s="1"/>
  <c r="E60" i="13" s="1"/>
  <c r="D55" i="13"/>
  <c r="D59" i="13" s="1"/>
  <c r="D60" i="13" s="1"/>
  <c r="C55" i="13"/>
  <c r="C59" i="13" s="1"/>
  <c r="C60" i="13" s="1"/>
  <c r="B55" i="13"/>
  <c r="B59" i="13" s="1"/>
  <c r="J52" i="13"/>
  <c r="N53" i="13" s="1"/>
  <c r="I52" i="13"/>
  <c r="M53" i="13" s="1"/>
  <c r="H52" i="13"/>
  <c r="L53" i="13" s="1"/>
  <c r="G52" i="13"/>
  <c r="F52" i="13"/>
  <c r="E52" i="13"/>
  <c r="D52" i="13"/>
  <c r="D53" i="13" s="1"/>
  <c r="C52" i="13"/>
  <c r="C53" i="13" s="1"/>
  <c r="B52" i="13"/>
  <c r="J50" i="13"/>
  <c r="N51" i="13" s="1"/>
  <c r="I50" i="13"/>
  <c r="M51" i="13" s="1"/>
  <c r="H50" i="13"/>
  <c r="L51" i="13" s="1"/>
  <c r="G50" i="13"/>
  <c r="K51" i="13" s="1"/>
  <c r="F50" i="13"/>
  <c r="E50" i="13"/>
  <c r="D50" i="13"/>
  <c r="D51" i="13" s="1"/>
  <c r="C50" i="13"/>
  <c r="C51" i="13" s="1"/>
  <c r="B50" i="13"/>
  <c r="A71" i="13"/>
  <c r="A69" i="13"/>
  <c r="A67" i="13"/>
  <c r="A65" i="13"/>
  <c r="A63" i="13"/>
  <c r="J7" i="13"/>
  <c r="I7" i="13"/>
  <c r="I15" i="13" s="1"/>
  <c r="I9" i="37" s="1"/>
  <c r="H7" i="13"/>
  <c r="H31" i="13" s="1"/>
  <c r="G7" i="13"/>
  <c r="F7" i="13"/>
  <c r="E7" i="13"/>
  <c r="E39" i="13" s="1"/>
  <c r="E91" i="13" s="1"/>
  <c r="D7" i="13"/>
  <c r="D39" i="13" s="1"/>
  <c r="D91" i="13" s="1"/>
  <c r="C7" i="13"/>
  <c r="C23" i="13" s="1"/>
  <c r="C25" i="37" s="1"/>
  <c r="B7" i="13"/>
  <c r="B29" i="13" s="1"/>
  <c r="B29" i="37" s="1"/>
  <c r="B69" i="37" s="1"/>
  <c r="J6" i="13"/>
  <c r="I6" i="13"/>
  <c r="H6" i="13"/>
  <c r="G6" i="13"/>
  <c r="F6" i="13"/>
  <c r="E6" i="13"/>
  <c r="D6" i="13"/>
  <c r="C6" i="13"/>
  <c r="J5" i="13"/>
  <c r="I5" i="13"/>
  <c r="H5" i="13"/>
  <c r="G5" i="13"/>
  <c r="F5" i="13"/>
  <c r="E5" i="13"/>
  <c r="D5" i="13"/>
  <c r="C5" i="13"/>
  <c r="B6" i="13"/>
  <c r="B5" i="13"/>
  <c r="J5" i="12"/>
  <c r="I5" i="12"/>
  <c r="H5" i="12"/>
  <c r="G5" i="12"/>
  <c r="F5" i="12"/>
  <c r="E5" i="12"/>
  <c r="D5" i="12"/>
  <c r="C5" i="12"/>
  <c r="B5" i="12"/>
  <c r="D71" i="12"/>
  <c r="C71" i="12"/>
  <c r="B71" i="12"/>
  <c r="F72" i="12" s="1"/>
  <c r="D67" i="12"/>
  <c r="C67" i="12"/>
  <c r="B67" i="12"/>
  <c r="F68" i="12" s="1"/>
  <c r="C52" i="12"/>
  <c r="D52" i="12"/>
  <c r="C50" i="12"/>
  <c r="D50" i="12"/>
  <c r="H51" i="12" s="1"/>
  <c r="A71" i="12"/>
  <c r="E72" i="12" s="1"/>
  <c r="A69" i="12"/>
  <c r="E70" i="12" s="1"/>
  <c r="A67" i="12"/>
  <c r="E68" i="12" s="1"/>
  <c r="A65" i="12"/>
  <c r="E66" i="12" s="1"/>
  <c r="A63" i="12"/>
  <c r="E64" i="12" s="1"/>
  <c r="B12" i="12"/>
  <c r="C12" i="12"/>
  <c r="B13" i="12"/>
  <c r="B19" i="34" s="1"/>
  <c r="C13" i="12"/>
  <c r="B20" i="12"/>
  <c r="B24" i="12" s="1"/>
  <c r="C20" i="12"/>
  <c r="C24" i="12" s="1"/>
  <c r="B50" i="12"/>
  <c r="F51" i="12" s="1"/>
  <c r="B52" i="12"/>
  <c r="F53" i="12" s="1"/>
  <c r="B55" i="12"/>
  <c r="C55" i="12"/>
  <c r="B90" i="12"/>
  <c r="B46" i="30" s="1"/>
  <c r="C46" i="30"/>
  <c r="B91" i="12"/>
  <c r="B93" i="12"/>
  <c r="H55" i="2"/>
  <c r="G55" i="2"/>
  <c r="F55" i="2"/>
  <c r="E55" i="2"/>
  <c r="D55" i="2"/>
  <c r="C55" i="2"/>
  <c r="B55" i="2"/>
  <c r="H52" i="2"/>
  <c r="I53" i="2" s="1"/>
  <c r="G52" i="2"/>
  <c r="F52" i="2"/>
  <c r="E52" i="2"/>
  <c r="D52" i="2"/>
  <c r="C52" i="2"/>
  <c r="B52" i="2"/>
  <c r="H50" i="2"/>
  <c r="I51" i="2" s="1"/>
  <c r="G50" i="2"/>
  <c r="F50" i="2"/>
  <c r="E50" i="2"/>
  <c r="D50" i="2"/>
  <c r="C50" i="2"/>
  <c r="B50" i="2"/>
  <c r="A71" i="2"/>
  <c r="A69" i="2"/>
  <c r="A67" i="2"/>
  <c r="A65" i="2"/>
  <c r="A63" i="2"/>
  <c r="C7" i="2"/>
  <c r="C7" i="8" s="1"/>
  <c r="D7" i="2"/>
  <c r="D35" i="2" s="1"/>
  <c r="E7" i="2"/>
  <c r="E7" i="8" s="1"/>
  <c r="F7" i="2"/>
  <c r="F7" i="8" s="1"/>
  <c r="G7" i="2"/>
  <c r="G7" i="8" s="1"/>
  <c r="H7" i="2"/>
  <c r="H38" i="2" s="1"/>
  <c r="M7" i="8"/>
  <c r="B7" i="2"/>
  <c r="H6" i="2"/>
  <c r="G6" i="2"/>
  <c r="F6" i="2"/>
  <c r="E6" i="2"/>
  <c r="D6" i="2"/>
  <c r="C6" i="2"/>
  <c r="B6" i="2"/>
  <c r="H5" i="2"/>
  <c r="G5" i="2"/>
  <c r="F5" i="2"/>
  <c r="E5" i="2"/>
  <c r="D5" i="2"/>
  <c r="C5" i="2"/>
  <c r="B5" i="2"/>
  <c r="A1" i="2"/>
  <c r="H71" i="11"/>
  <c r="I72" i="11" s="1"/>
  <c r="G71" i="11"/>
  <c r="F71" i="11"/>
  <c r="E71" i="11"/>
  <c r="D71" i="11"/>
  <c r="C71" i="11"/>
  <c r="B71" i="11"/>
  <c r="H67" i="11"/>
  <c r="I68" i="11" s="1"/>
  <c r="G67" i="11"/>
  <c r="F67" i="11"/>
  <c r="E67" i="11"/>
  <c r="D67" i="11"/>
  <c r="C67" i="11"/>
  <c r="B67" i="11"/>
  <c r="A71" i="11"/>
  <c r="A67" i="11"/>
  <c r="A69" i="11"/>
  <c r="A65" i="11"/>
  <c r="A63" i="11"/>
  <c r="M5" i="11"/>
  <c r="H5" i="11"/>
  <c r="G5" i="11"/>
  <c r="F5" i="11"/>
  <c r="E5" i="11"/>
  <c r="D5" i="11"/>
  <c r="C5" i="11"/>
  <c r="B5" i="11"/>
  <c r="M3" i="11"/>
  <c r="J7" i="37"/>
  <c r="I7" i="37"/>
  <c r="H7" i="37"/>
  <c r="G7" i="37"/>
  <c r="F7" i="37"/>
  <c r="E7" i="37"/>
  <c r="D7" i="37"/>
  <c r="C7" i="37"/>
  <c r="B7" i="37"/>
  <c r="J6" i="37"/>
  <c r="I6" i="37"/>
  <c r="H6" i="37"/>
  <c r="G6" i="37"/>
  <c r="F6" i="37"/>
  <c r="E6" i="37"/>
  <c r="D6" i="37"/>
  <c r="C6" i="37"/>
  <c r="B6" i="37"/>
  <c r="J5" i="37"/>
  <c r="I5" i="37"/>
  <c r="H5" i="37"/>
  <c r="G5" i="37"/>
  <c r="F5" i="37"/>
  <c r="E5" i="37"/>
  <c r="D5" i="37"/>
  <c r="C5" i="37"/>
  <c r="B5" i="37"/>
  <c r="J29" i="36"/>
  <c r="I29" i="36"/>
  <c r="M30" i="36" s="1"/>
  <c r="H29" i="36"/>
  <c r="G29" i="36"/>
  <c r="F29" i="36"/>
  <c r="F69" i="36" s="1"/>
  <c r="E29" i="36"/>
  <c r="E30" i="36" s="1"/>
  <c r="D29" i="36"/>
  <c r="D30" i="36" s="1"/>
  <c r="C29" i="36"/>
  <c r="C69" i="36" s="1"/>
  <c r="C70" i="36" s="1"/>
  <c r="B29" i="36"/>
  <c r="B69" i="36" s="1"/>
  <c r="J27" i="36"/>
  <c r="I27" i="36"/>
  <c r="H27" i="36"/>
  <c r="G27" i="36"/>
  <c r="K28" i="36" s="1"/>
  <c r="F27" i="36"/>
  <c r="E27" i="36"/>
  <c r="D27" i="36"/>
  <c r="D28" i="36" s="1"/>
  <c r="C27" i="36"/>
  <c r="C28" i="36" s="1"/>
  <c r="B27" i="36"/>
  <c r="B67" i="36" s="1"/>
  <c r="I25" i="36"/>
  <c r="H25" i="36"/>
  <c r="L26" i="36" s="1"/>
  <c r="G25" i="36"/>
  <c r="E25" i="36"/>
  <c r="E26" i="36" s="1"/>
  <c r="D25" i="36"/>
  <c r="D26" i="36" s="1"/>
  <c r="C25" i="36"/>
  <c r="C26" i="36" s="1"/>
  <c r="B25" i="36"/>
  <c r="B65" i="36" s="1"/>
  <c r="J23" i="36"/>
  <c r="I23" i="36"/>
  <c r="H23" i="36"/>
  <c r="G23" i="36"/>
  <c r="F23" i="36"/>
  <c r="E23" i="36"/>
  <c r="E63" i="36" s="1"/>
  <c r="D23" i="36"/>
  <c r="D24" i="36" s="1"/>
  <c r="C23" i="36"/>
  <c r="C24" i="36" s="1"/>
  <c r="B23" i="36"/>
  <c r="B63" i="36" s="1"/>
  <c r="J21" i="36"/>
  <c r="I21" i="36"/>
  <c r="H21" i="36"/>
  <c r="L22" i="36" s="1"/>
  <c r="G21" i="36"/>
  <c r="F21" i="36"/>
  <c r="F61" i="36" s="1"/>
  <c r="E21" i="36"/>
  <c r="E61" i="36" s="1"/>
  <c r="D21" i="36"/>
  <c r="D22" i="36" s="1"/>
  <c r="C21" i="36"/>
  <c r="C61" i="36" s="1"/>
  <c r="C62" i="36" s="1"/>
  <c r="B21" i="36"/>
  <c r="B61" i="36" s="1"/>
  <c r="J17" i="36"/>
  <c r="I17" i="36"/>
  <c r="H17" i="36"/>
  <c r="G17" i="36"/>
  <c r="K18" i="36" s="1"/>
  <c r="F17" i="36"/>
  <c r="F57" i="36" s="1"/>
  <c r="E17" i="36"/>
  <c r="E18" i="36" s="1"/>
  <c r="D17" i="36"/>
  <c r="D18" i="36" s="1"/>
  <c r="C17" i="36"/>
  <c r="C18" i="36" s="1"/>
  <c r="B17" i="36"/>
  <c r="B57" i="36" s="1"/>
  <c r="J15" i="36"/>
  <c r="I15" i="36"/>
  <c r="H15" i="36"/>
  <c r="G15" i="36"/>
  <c r="K16" i="36" s="1"/>
  <c r="F15" i="36"/>
  <c r="F55" i="36" s="1"/>
  <c r="E15" i="36"/>
  <c r="E16" i="36" s="1"/>
  <c r="D15" i="36"/>
  <c r="C15" i="36"/>
  <c r="C16" i="36" s="1"/>
  <c r="B15" i="36"/>
  <c r="B55" i="36" s="1"/>
  <c r="J13" i="36"/>
  <c r="I13" i="36"/>
  <c r="H13" i="36"/>
  <c r="G13" i="36"/>
  <c r="K14" i="36" s="1"/>
  <c r="F13" i="36"/>
  <c r="E13" i="36"/>
  <c r="E14" i="36" s="1"/>
  <c r="D13" i="36"/>
  <c r="D53" i="36" s="1"/>
  <c r="D54" i="36" s="1"/>
  <c r="C13" i="36"/>
  <c r="C14" i="36" s="1"/>
  <c r="B13" i="36"/>
  <c r="B53" i="36" s="1"/>
  <c r="J11" i="36"/>
  <c r="I11" i="36"/>
  <c r="H11" i="36"/>
  <c r="G11" i="36"/>
  <c r="F11" i="36"/>
  <c r="F51" i="36" s="1"/>
  <c r="E11" i="36"/>
  <c r="D11" i="36"/>
  <c r="D12" i="36" s="1"/>
  <c r="C11" i="36"/>
  <c r="C12" i="36" s="1"/>
  <c r="B11" i="36"/>
  <c r="B51" i="36" s="1"/>
  <c r="J9" i="36"/>
  <c r="I9" i="36"/>
  <c r="H9" i="36"/>
  <c r="L10" i="36" s="1"/>
  <c r="G9" i="36"/>
  <c r="F9" i="36"/>
  <c r="F49" i="36" s="1"/>
  <c r="E9" i="36"/>
  <c r="E49" i="36" s="1"/>
  <c r="D9" i="36"/>
  <c r="C9" i="36"/>
  <c r="C10" i="36" s="1"/>
  <c r="B9" i="36"/>
  <c r="B49" i="36" s="1"/>
  <c r="I5" i="36"/>
  <c r="J5" i="36"/>
  <c r="H5" i="36"/>
  <c r="G5" i="36"/>
  <c r="F5" i="36"/>
  <c r="E5" i="36"/>
  <c r="D5" i="36"/>
  <c r="C5" i="36"/>
  <c r="B5" i="36"/>
  <c r="B7" i="26"/>
  <c r="B6" i="26"/>
  <c r="B5" i="26"/>
  <c r="A1" i="26"/>
  <c r="A1" i="25"/>
  <c r="A1" i="24"/>
  <c r="G5" i="25"/>
  <c r="F5" i="25"/>
  <c r="E5" i="25"/>
  <c r="D5" i="25"/>
  <c r="C5" i="25"/>
  <c r="B5" i="25"/>
  <c r="J80" i="35"/>
  <c r="I80" i="35"/>
  <c r="H83" i="35"/>
  <c r="C83" i="35"/>
  <c r="B7" i="35"/>
  <c r="B80" i="35" s="1"/>
  <c r="J6" i="35"/>
  <c r="I6" i="35"/>
  <c r="H6" i="35"/>
  <c r="G6" i="35"/>
  <c r="F6" i="35"/>
  <c r="E6" i="35"/>
  <c r="D6" i="35"/>
  <c r="C6" i="35"/>
  <c r="B6" i="35"/>
  <c r="J5" i="35"/>
  <c r="I5" i="35"/>
  <c r="H5" i="35"/>
  <c r="G5" i="35"/>
  <c r="F5" i="35"/>
  <c r="E5" i="35"/>
  <c r="D5" i="35"/>
  <c r="C5" i="35"/>
  <c r="B5" i="35"/>
  <c r="H5" i="8"/>
  <c r="G5" i="8"/>
  <c r="F5" i="8"/>
  <c r="E5" i="8"/>
  <c r="D5" i="8"/>
  <c r="C5" i="8"/>
  <c r="B5" i="8"/>
  <c r="A67" i="35"/>
  <c r="A56" i="35"/>
  <c r="A53" i="35"/>
  <c r="A40" i="35"/>
  <c r="A27" i="35"/>
  <c r="B15" i="34"/>
  <c r="B48" i="34" s="1"/>
  <c r="B13" i="34"/>
  <c r="B46" i="34" s="1"/>
  <c r="B9" i="34"/>
  <c r="I5" i="34"/>
  <c r="J5" i="34"/>
  <c r="I92" i="34"/>
  <c r="J92" i="34"/>
  <c r="A68" i="34"/>
  <c r="A57" i="34"/>
  <c r="A54" i="34"/>
  <c r="A41" i="34"/>
  <c r="A28" i="34"/>
  <c r="H6" i="8"/>
  <c r="G6" i="8"/>
  <c r="F6" i="8"/>
  <c r="E6" i="8"/>
  <c r="D6" i="8"/>
  <c r="C6" i="8"/>
  <c r="B6" i="8"/>
  <c r="A68" i="8"/>
  <c r="A57" i="8"/>
  <c r="A54" i="8"/>
  <c r="A41" i="8"/>
  <c r="A28" i="8"/>
  <c r="A68" i="24"/>
  <c r="A57" i="24"/>
  <c r="A41" i="24"/>
  <c r="A48" i="37" s="1"/>
  <c r="A54" i="24"/>
  <c r="A28" i="24"/>
  <c r="H5" i="34"/>
  <c r="G5" i="34"/>
  <c r="F5" i="34"/>
  <c r="E5" i="34"/>
  <c r="D5" i="34"/>
  <c r="C5" i="34"/>
  <c r="B5" i="34"/>
  <c r="A1" i="8"/>
  <c r="G5" i="24"/>
  <c r="F5" i="24"/>
  <c r="E5" i="24"/>
  <c r="D5" i="24"/>
  <c r="C5" i="24"/>
  <c r="B5" i="24"/>
  <c r="A45" i="39"/>
  <c r="E46" i="39" s="1"/>
  <c r="A43" i="39"/>
  <c r="E44" i="39" s="1"/>
  <c r="A39" i="39"/>
  <c r="E40" i="39" s="1"/>
  <c r="A37" i="39"/>
  <c r="E38" i="39" s="1"/>
  <c r="A33" i="39"/>
  <c r="E34" i="39" s="1"/>
  <c r="A31" i="39"/>
  <c r="E32" i="39" s="1"/>
  <c r="B3" i="6"/>
  <c r="I67" i="6"/>
  <c r="B66" i="6"/>
  <c r="A45" i="6"/>
  <c r="A75" i="24" s="1"/>
  <c r="A43" i="6"/>
  <c r="A64" i="34" s="1"/>
  <c r="A39" i="6"/>
  <c r="A37" i="6"/>
  <c r="A55" i="24" s="1"/>
  <c r="B7" i="6"/>
  <c r="C7" i="6" s="1"/>
  <c r="A33" i="6"/>
  <c r="A31" i="6"/>
  <c r="B2" i="20"/>
  <c r="H28" i="6"/>
  <c r="G28" i="6"/>
  <c r="F28" i="6"/>
  <c r="E28" i="6"/>
  <c r="D28" i="6"/>
  <c r="C28" i="6"/>
  <c r="H21" i="6"/>
  <c r="G21" i="6"/>
  <c r="F21" i="6"/>
  <c r="E21" i="6"/>
  <c r="D21" i="6"/>
  <c r="C21" i="6"/>
  <c r="H15" i="6"/>
  <c r="G15" i="6"/>
  <c r="F15" i="6"/>
  <c r="E15" i="6"/>
  <c r="D15" i="6"/>
  <c r="C15" i="6"/>
  <c r="M68" i="39"/>
  <c r="Q69" i="39" s="1"/>
  <c r="L68" i="39"/>
  <c r="P69" i="39" s="1"/>
  <c r="K68" i="39"/>
  <c r="O69" i="39" s="1"/>
  <c r="J68" i="39"/>
  <c r="N69" i="39" s="1"/>
  <c r="I68" i="39"/>
  <c r="M69" i="39" s="1"/>
  <c r="H68" i="39"/>
  <c r="L69" i="39" s="1"/>
  <c r="G68" i="39"/>
  <c r="K69" i="39" s="1"/>
  <c r="F68" i="39"/>
  <c r="E68" i="39"/>
  <c r="E69" i="39" s="1"/>
  <c r="D68" i="39"/>
  <c r="D69" i="39" s="1"/>
  <c r="C68" i="39"/>
  <c r="C69" i="39" s="1"/>
  <c r="B68" i="39"/>
  <c r="E65" i="39"/>
  <c r="E66" i="39" s="1"/>
  <c r="E67" i="39" s="1"/>
  <c r="D65" i="39"/>
  <c r="D66" i="39" s="1"/>
  <c r="D67" i="39" s="1"/>
  <c r="C65" i="39"/>
  <c r="C66" i="39" s="1"/>
  <c r="C67" i="39" s="1"/>
  <c r="M58" i="39"/>
  <c r="Q59" i="39" s="1"/>
  <c r="L58" i="39"/>
  <c r="P59" i="39" s="1"/>
  <c r="K58" i="39"/>
  <c r="O59" i="39" s="1"/>
  <c r="J58" i="39"/>
  <c r="N59" i="39" s="1"/>
  <c r="I58" i="39"/>
  <c r="H58" i="39"/>
  <c r="G58" i="39"/>
  <c r="F58" i="39"/>
  <c r="E58" i="39"/>
  <c r="E59" i="39" s="1"/>
  <c r="D58" i="39"/>
  <c r="D59" i="39" s="1"/>
  <c r="C58" i="39"/>
  <c r="C59" i="39" s="1"/>
  <c r="B58" i="39"/>
  <c r="M56" i="39"/>
  <c r="Q57" i="39" s="1"/>
  <c r="L56" i="39"/>
  <c r="P57" i="39" s="1"/>
  <c r="K56" i="39"/>
  <c r="O57" i="39" s="1"/>
  <c r="J56" i="39"/>
  <c r="N57" i="39" s="1"/>
  <c r="I56" i="39"/>
  <c r="M57" i="39" s="1"/>
  <c r="H56" i="39"/>
  <c r="G56" i="39"/>
  <c r="F56" i="39"/>
  <c r="E56" i="39"/>
  <c r="E57" i="39" s="1"/>
  <c r="D56" i="39"/>
  <c r="D57" i="39" s="1"/>
  <c r="C56" i="39"/>
  <c r="C57" i="39" s="1"/>
  <c r="B56" i="39"/>
  <c r="M54" i="39"/>
  <c r="Q55" i="39" s="1"/>
  <c r="L54" i="39"/>
  <c r="P55" i="39" s="1"/>
  <c r="K54" i="39"/>
  <c r="O55" i="39" s="1"/>
  <c r="J54" i="39"/>
  <c r="N55" i="39" s="1"/>
  <c r="I54" i="39"/>
  <c r="H54" i="39"/>
  <c r="G54" i="39"/>
  <c r="F54" i="39"/>
  <c r="E54" i="39"/>
  <c r="E55" i="39" s="1"/>
  <c r="D54" i="39"/>
  <c r="D55" i="39" s="1"/>
  <c r="C54" i="39"/>
  <c r="C55" i="39" s="1"/>
  <c r="B54" i="39"/>
  <c r="M52" i="39"/>
  <c r="Q53" i="39" s="1"/>
  <c r="L52" i="39"/>
  <c r="P53" i="39" s="1"/>
  <c r="K52" i="39"/>
  <c r="O53" i="39" s="1"/>
  <c r="J52" i="39"/>
  <c r="N53" i="39" s="1"/>
  <c r="I52" i="39"/>
  <c r="H52" i="39"/>
  <c r="G52" i="39"/>
  <c r="F52" i="39"/>
  <c r="E52" i="39"/>
  <c r="E53" i="39" s="1"/>
  <c r="D52" i="39"/>
  <c r="D53" i="39" s="1"/>
  <c r="C52" i="39"/>
  <c r="C53" i="39" s="1"/>
  <c r="B52" i="39"/>
  <c r="M50" i="39"/>
  <c r="Q51" i="39" s="1"/>
  <c r="L50" i="39"/>
  <c r="P51" i="39" s="1"/>
  <c r="K50" i="39"/>
  <c r="O51" i="39" s="1"/>
  <c r="J50" i="39"/>
  <c r="N51" i="39" s="1"/>
  <c r="I50" i="39"/>
  <c r="M51" i="39" s="1"/>
  <c r="H50" i="39"/>
  <c r="L51" i="39" s="1"/>
  <c r="G50" i="39"/>
  <c r="F50" i="39"/>
  <c r="E50" i="39"/>
  <c r="E51" i="39" s="1"/>
  <c r="D50" i="39"/>
  <c r="D51" i="39" s="1"/>
  <c r="C50" i="39"/>
  <c r="C51" i="39" s="1"/>
  <c r="B50" i="39"/>
  <c r="A1" i="6"/>
  <c r="I88" i="34"/>
  <c r="I89" i="34"/>
  <c r="I90" i="34"/>
  <c r="I91" i="34"/>
  <c r="J88" i="34"/>
  <c r="J89" i="34"/>
  <c r="J90" i="34"/>
  <c r="J91" i="34"/>
  <c r="H81" i="35"/>
  <c r="C31" i="13"/>
  <c r="E86" i="34"/>
  <c r="E91" i="34" s="1"/>
  <c r="D86" i="34"/>
  <c r="D92" i="34" s="1"/>
  <c r="C86" i="34"/>
  <c r="C91" i="34" s="1"/>
  <c r="B88" i="34"/>
  <c r="F92" i="34"/>
  <c r="F91" i="34"/>
  <c r="F90" i="34"/>
  <c r="F89" i="34"/>
  <c r="F88" i="34"/>
  <c r="H92" i="34"/>
  <c r="H91" i="34"/>
  <c r="H90" i="34"/>
  <c r="H89" i="34"/>
  <c r="H88" i="34"/>
  <c r="G92" i="34"/>
  <c r="G91" i="34"/>
  <c r="G90" i="34"/>
  <c r="G89" i="34"/>
  <c r="G88" i="34"/>
  <c r="C76" i="17"/>
  <c r="D76" i="17" s="1"/>
  <c r="E76" i="17" s="1"/>
  <c r="F76" i="17" s="1"/>
  <c r="G76" i="17" s="1"/>
  <c r="H76" i="17" s="1"/>
  <c r="I76" i="17" s="1"/>
  <c r="I68" i="17"/>
  <c r="H68" i="17"/>
  <c r="G68" i="17"/>
  <c r="F68" i="17"/>
  <c r="E68" i="17"/>
  <c r="D68" i="17"/>
  <c r="I67" i="17"/>
  <c r="H67" i="17"/>
  <c r="G67" i="17"/>
  <c r="F67" i="17"/>
  <c r="E67" i="17"/>
  <c r="D67" i="17"/>
  <c r="I66" i="17"/>
  <c r="H66" i="17"/>
  <c r="G66" i="17"/>
  <c r="F66" i="17"/>
  <c r="E66" i="17"/>
  <c r="D66" i="17"/>
  <c r="C68" i="17"/>
  <c r="C67" i="17"/>
  <c r="C66" i="17"/>
  <c r="C86" i="24"/>
  <c r="D86" i="24"/>
  <c r="G86" i="24"/>
  <c r="F86" i="24"/>
  <c r="E86" i="24"/>
  <c r="B86" i="24"/>
  <c r="M110" i="17"/>
  <c r="G57" i="18"/>
  <c r="G111" i="18" s="1"/>
  <c r="H57" i="18"/>
  <c r="H111" i="18" s="1"/>
  <c r="J25" i="36"/>
  <c r="F25" i="36"/>
  <c r="F65" i="36" s="1"/>
  <c r="H8" i="27"/>
  <c r="H23" i="18"/>
  <c r="E13" i="19"/>
  <c r="E90" i="11"/>
  <c r="B22" i="19"/>
  <c r="C32" i="17"/>
  <c r="C85" i="17" s="1"/>
  <c r="C34" i="17"/>
  <c r="C89" i="17" s="1"/>
  <c r="I34" i="17"/>
  <c r="H34" i="17"/>
  <c r="G34" i="17"/>
  <c r="F34" i="17"/>
  <c r="E34" i="17"/>
  <c r="D34" i="17"/>
  <c r="I32" i="17"/>
  <c r="H32" i="17"/>
  <c r="G32" i="17"/>
  <c r="F32" i="17"/>
  <c r="E32" i="17"/>
  <c r="D32" i="17"/>
  <c r="D109" i="17"/>
  <c r="D131" i="17" s="1"/>
  <c r="E109" i="17"/>
  <c r="E131" i="17" s="1"/>
  <c r="F109" i="17"/>
  <c r="F131" i="17" s="1"/>
  <c r="G109" i="17"/>
  <c r="G131" i="17" s="1"/>
  <c r="H109" i="17"/>
  <c r="H131" i="17" s="1"/>
  <c r="I109" i="17"/>
  <c r="I169" i="17"/>
  <c r="E7" i="17"/>
  <c r="F7" i="17"/>
  <c r="G7" i="17"/>
  <c r="H7" i="17"/>
  <c r="I7" i="17"/>
  <c r="C7" i="17"/>
  <c r="H37" i="19"/>
  <c r="E62" i="19"/>
  <c r="F49" i="18"/>
  <c r="E49" i="18"/>
  <c r="E57" i="18"/>
  <c r="E111" i="18" s="1"/>
  <c r="D49" i="18"/>
  <c r="C49" i="18"/>
  <c r="B49" i="18"/>
  <c r="F62" i="19"/>
  <c r="D62" i="19"/>
  <c r="C62" i="19"/>
  <c r="B62" i="19"/>
  <c r="G57" i="19"/>
  <c r="H49" i="18"/>
  <c r="G49" i="18"/>
  <c r="G62" i="19"/>
  <c r="G34" i="19"/>
  <c r="H62" i="19"/>
  <c r="H55" i="11"/>
  <c r="H52" i="11"/>
  <c r="H50" i="11"/>
  <c r="I51" i="11" s="1"/>
  <c r="I44" i="17"/>
  <c r="F57" i="19"/>
  <c r="D70" i="18"/>
  <c r="U57" i="17" s="1"/>
  <c r="E12" i="11"/>
  <c r="E17" i="24" s="1"/>
  <c r="E37" i="24" s="1"/>
  <c r="H91" i="11"/>
  <c r="H61" i="19"/>
  <c r="H102" i="18"/>
  <c r="H103" i="18"/>
  <c r="H81" i="18"/>
  <c r="H82" i="18"/>
  <c r="H83" i="18"/>
  <c r="H84" i="18"/>
  <c r="H70" i="18"/>
  <c r="Y57" i="17" s="1"/>
  <c r="J13" i="12"/>
  <c r="H43" i="18"/>
  <c r="H117" i="18" s="1"/>
  <c r="H33" i="18"/>
  <c r="H73" i="18"/>
  <c r="H93" i="11"/>
  <c r="H22" i="19"/>
  <c r="H57" i="19"/>
  <c r="J12" i="12"/>
  <c r="H57" i="30"/>
  <c r="G57" i="30"/>
  <c r="F57" i="30"/>
  <c r="E57" i="30"/>
  <c r="D57" i="30"/>
  <c r="C57" i="30"/>
  <c r="B57" i="30"/>
  <c r="E57" i="19"/>
  <c r="D57" i="19"/>
  <c r="C57" i="19"/>
  <c r="B57" i="19"/>
  <c r="H62" i="30"/>
  <c r="J40" i="30"/>
  <c r="G62" i="30"/>
  <c r="C62" i="30"/>
  <c r="E62" i="30"/>
  <c r="F62" i="30"/>
  <c r="D55" i="12"/>
  <c r="I20" i="12"/>
  <c r="I12" i="12"/>
  <c r="I13" i="12"/>
  <c r="D62" i="30"/>
  <c r="H66" i="18"/>
  <c r="C37" i="19"/>
  <c r="C17" i="6"/>
  <c r="H12" i="11"/>
  <c r="H17" i="24" s="1"/>
  <c r="H37" i="24" s="1"/>
  <c r="H13" i="11"/>
  <c r="G103" i="18"/>
  <c r="F103" i="18"/>
  <c r="E103" i="18"/>
  <c r="D103" i="18"/>
  <c r="C103" i="18"/>
  <c r="B103" i="18"/>
  <c r="G102" i="18"/>
  <c r="F102" i="18"/>
  <c r="E102" i="18"/>
  <c r="D102" i="18"/>
  <c r="C102" i="18"/>
  <c r="B102" i="18"/>
  <c r="G84" i="18"/>
  <c r="F84" i="18"/>
  <c r="E84" i="18"/>
  <c r="D84" i="18"/>
  <c r="C84" i="18"/>
  <c r="B84" i="18"/>
  <c r="G83" i="18"/>
  <c r="F83" i="18"/>
  <c r="E83" i="18"/>
  <c r="D83" i="18"/>
  <c r="C83" i="18"/>
  <c r="B83" i="18"/>
  <c r="G82" i="18"/>
  <c r="F82" i="18"/>
  <c r="E82" i="18"/>
  <c r="D82" i="18"/>
  <c r="C82" i="18"/>
  <c r="B82" i="18"/>
  <c r="G81" i="18"/>
  <c r="F81" i="18"/>
  <c r="E81" i="18"/>
  <c r="D81" i="18"/>
  <c r="C81" i="18"/>
  <c r="B81" i="18"/>
  <c r="F322" i="17"/>
  <c r="F323" i="17" s="1"/>
  <c r="G252" i="17"/>
  <c r="H251" i="17"/>
  <c r="H253" i="17" s="1"/>
  <c r="G251" i="17"/>
  <c r="G253" i="17" s="1"/>
  <c r="F251" i="17"/>
  <c r="E251" i="17"/>
  <c r="D251" i="17"/>
  <c r="C251" i="17"/>
  <c r="I251" i="17"/>
  <c r="I253" i="17" s="1"/>
  <c r="S222" i="17"/>
  <c r="R222" i="17"/>
  <c r="B62" i="30"/>
  <c r="J57" i="30"/>
  <c r="J62" i="30"/>
  <c r="G55" i="11"/>
  <c r="F55" i="11"/>
  <c r="E55" i="11"/>
  <c r="D55" i="11"/>
  <c r="C55" i="11"/>
  <c r="B55" i="11"/>
  <c r="G52" i="11"/>
  <c r="G69" i="11" s="1"/>
  <c r="F52" i="11"/>
  <c r="E52" i="11"/>
  <c r="E69" i="11" s="1"/>
  <c r="D52" i="11"/>
  <c r="D69" i="11" s="1"/>
  <c r="C52" i="11"/>
  <c r="C77" i="11" s="1"/>
  <c r="B52" i="11"/>
  <c r="B69" i="11" s="1"/>
  <c r="G50" i="11"/>
  <c r="F50" i="11"/>
  <c r="E50" i="11"/>
  <c r="D50" i="11"/>
  <c r="C50" i="11"/>
  <c r="B50" i="11"/>
  <c r="G93" i="11"/>
  <c r="F93" i="11"/>
  <c r="E93" i="11"/>
  <c r="D93" i="11"/>
  <c r="C93" i="11"/>
  <c r="B93" i="11"/>
  <c r="G91" i="11"/>
  <c r="F91" i="11"/>
  <c r="E91" i="11"/>
  <c r="D91" i="11"/>
  <c r="C91" i="11"/>
  <c r="B91" i="11"/>
  <c r="G90" i="11"/>
  <c r="F90" i="11"/>
  <c r="D90" i="11"/>
  <c r="C90" i="11"/>
  <c r="B90" i="11"/>
  <c r="D7" i="17"/>
  <c r="B17" i="4"/>
  <c r="B32" i="4"/>
  <c r="B51" i="4"/>
  <c r="G73" i="18"/>
  <c r="F73" i="18"/>
  <c r="E73" i="18"/>
  <c r="D73" i="18"/>
  <c r="C73" i="18"/>
  <c r="B73" i="18"/>
  <c r="H20" i="11"/>
  <c r="H19" i="25" s="1"/>
  <c r="I330" i="17"/>
  <c r="I60" i="31"/>
  <c r="G37" i="19"/>
  <c r="F37" i="19"/>
  <c r="E37" i="19"/>
  <c r="D37" i="19"/>
  <c r="G61" i="19"/>
  <c r="F61" i="19"/>
  <c r="E61" i="19"/>
  <c r="D61" i="19"/>
  <c r="C61" i="19"/>
  <c r="B61" i="19"/>
  <c r="B29" i="25"/>
  <c r="C30" i="25" s="1"/>
  <c r="F176" i="17"/>
  <c r="E176" i="17"/>
  <c r="D176" i="17"/>
  <c r="B27" i="25"/>
  <c r="C28" i="25" s="1"/>
  <c r="G173" i="17"/>
  <c r="F173" i="17"/>
  <c r="E173" i="17"/>
  <c r="B25" i="25"/>
  <c r="E169" i="17"/>
  <c r="B23" i="25"/>
  <c r="C24" i="25" s="1"/>
  <c r="B21" i="25"/>
  <c r="C22" i="25" s="1"/>
  <c r="B17" i="25"/>
  <c r="C18" i="25" s="1"/>
  <c r="B15" i="25"/>
  <c r="C16" i="25" s="1"/>
  <c r="B13" i="25"/>
  <c r="C14" i="25" s="1"/>
  <c r="B11" i="25"/>
  <c r="C12" i="25" s="1"/>
  <c r="H77" i="25"/>
  <c r="B9" i="25"/>
  <c r="B68" i="6"/>
  <c r="B58" i="6"/>
  <c r="C59" i="6" s="1"/>
  <c r="B56" i="6"/>
  <c r="C57" i="6" s="1"/>
  <c r="B54" i="6"/>
  <c r="B52" i="6"/>
  <c r="C53" i="6" s="1"/>
  <c r="B50" i="6"/>
  <c r="C51" i="6" s="1"/>
  <c r="B15" i="24"/>
  <c r="C16" i="24" s="1"/>
  <c r="B13" i="24"/>
  <c r="C14" i="24" s="1"/>
  <c r="B9" i="24"/>
  <c r="F11" i="4"/>
  <c r="F34" i="19"/>
  <c r="E34" i="19"/>
  <c r="D34" i="19"/>
  <c r="C34" i="19"/>
  <c r="B34" i="19"/>
  <c r="G22" i="19"/>
  <c r="F22" i="19"/>
  <c r="E22" i="19"/>
  <c r="D22" i="19"/>
  <c r="C22" i="19"/>
  <c r="G13" i="19"/>
  <c r="F13" i="19"/>
  <c r="C13" i="19"/>
  <c r="B13" i="19"/>
  <c r="G70" i="18"/>
  <c r="X57" i="17" s="1"/>
  <c r="F70" i="18"/>
  <c r="W57" i="17" s="1"/>
  <c r="E70" i="18"/>
  <c r="V57" i="17" s="1"/>
  <c r="C70" i="18"/>
  <c r="T57" i="17" s="1"/>
  <c r="B70" i="18"/>
  <c r="S57" i="17" s="1"/>
  <c r="G66" i="18"/>
  <c r="F66" i="18"/>
  <c r="E66" i="18"/>
  <c r="D66" i="18"/>
  <c r="C66" i="18"/>
  <c r="B66" i="18"/>
  <c r="F57" i="18"/>
  <c r="F111" i="18" s="1"/>
  <c r="D57" i="18"/>
  <c r="D111" i="18" s="1"/>
  <c r="C57" i="18"/>
  <c r="C111" i="18" s="1"/>
  <c r="G43" i="18"/>
  <c r="F43" i="18"/>
  <c r="F117" i="18" s="1"/>
  <c r="E43" i="18"/>
  <c r="E117" i="18" s="1"/>
  <c r="D43" i="18"/>
  <c r="D117" i="18" s="1"/>
  <c r="C43" i="18"/>
  <c r="C117" i="18" s="1"/>
  <c r="B43" i="18"/>
  <c r="B117" i="18" s="1"/>
  <c r="G33" i="18"/>
  <c r="F33" i="18"/>
  <c r="E33" i="18"/>
  <c r="D33" i="18"/>
  <c r="C33" i="18"/>
  <c r="B33" i="18"/>
  <c r="G23" i="18"/>
  <c r="F23" i="18"/>
  <c r="E23" i="18"/>
  <c r="B13" i="18"/>
  <c r="E20" i="11"/>
  <c r="D20" i="11"/>
  <c r="D19" i="25" s="1"/>
  <c r="G20" i="11"/>
  <c r="G19" i="25" s="1"/>
  <c r="C20" i="11"/>
  <c r="C19" i="25" s="1"/>
  <c r="D12" i="11"/>
  <c r="D17" i="24" s="1"/>
  <c r="D37" i="24" s="1"/>
  <c r="H20" i="12"/>
  <c r="H19" i="36" s="1"/>
  <c r="L20" i="36" s="1"/>
  <c r="G20" i="12"/>
  <c r="G19" i="36" s="1"/>
  <c r="K20" i="36" s="1"/>
  <c r="F20" i="12"/>
  <c r="F19" i="36" s="1"/>
  <c r="F59" i="36" s="1"/>
  <c r="E20" i="12"/>
  <c r="E19" i="36" s="1"/>
  <c r="D20" i="12"/>
  <c r="H13" i="12"/>
  <c r="G13" i="12"/>
  <c r="F13" i="12"/>
  <c r="D13" i="12"/>
  <c r="D19" i="34" s="1"/>
  <c r="H12" i="12"/>
  <c r="G12" i="12"/>
  <c r="F12" i="12"/>
  <c r="D12" i="12"/>
  <c r="F20" i="11"/>
  <c r="F19" i="25" s="1"/>
  <c r="B20" i="11"/>
  <c r="B19" i="25" s="1"/>
  <c r="B59" i="25" s="1"/>
  <c r="G13" i="11"/>
  <c r="F13" i="11"/>
  <c r="D13" i="11"/>
  <c r="C13" i="11"/>
  <c r="B13" i="11"/>
  <c r="S49" i="17" s="1"/>
  <c r="G12" i="11"/>
  <c r="G17" i="24" s="1"/>
  <c r="G37" i="24" s="1"/>
  <c r="F12" i="11"/>
  <c r="F17" i="24" s="1"/>
  <c r="F37" i="24" s="1"/>
  <c r="C12" i="11"/>
  <c r="C17" i="24" s="1"/>
  <c r="C37" i="24" s="1"/>
  <c r="B12" i="11"/>
  <c r="B17" i="24" s="1"/>
  <c r="B37" i="24" s="1"/>
  <c r="B23" i="18"/>
  <c r="C23" i="18"/>
  <c r="D23" i="18"/>
  <c r="H44" i="17"/>
  <c r="G44" i="17"/>
  <c r="F44" i="17"/>
  <c r="E44" i="17"/>
  <c r="D44" i="17"/>
  <c r="C44" i="17"/>
  <c r="E13" i="11"/>
  <c r="G17" i="27"/>
  <c r="H30" i="27"/>
  <c r="F17" i="6"/>
  <c r="H26" i="27"/>
  <c r="J20" i="12"/>
  <c r="J24" i="12" s="1"/>
  <c r="D27" i="31"/>
  <c r="D61" i="31" s="1"/>
  <c r="G17" i="6"/>
  <c r="B57" i="18"/>
  <c r="B111" i="18" s="1"/>
  <c r="H90" i="11"/>
  <c r="H34" i="19"/>
  <c r="E9" i="31"/>
  <c r="E27" i="31"/>
  <c r="E61" i="31" s="1"/>
  <c r="E35" i="31"/>
  <c r="D24" i="27"/>
  <c r="E34" i="2" l="1"/>
  <c r="B42" i="4"/>
  <c r="B12" i="4"/>
  <c r="K17" i="35"/>
  <c r="K85" i="6"/>
  <c r="H23" i="31"/>
  <c r="F22" i="4"/>
  <c r="F38" i="4"/>
  <c r="F245" i="6" s="1"/>
  <c r="F56" i="4"/>
  <c r="D16" i="31"/>
  <c r="K38" i="36"/>
  <c r="D30" i="31"/>
  <c r="B124" i="41"/>
  <c r="F19" i="2"/>
  <c r="E28" i="27"/>
  <c r="K95" i="13"/>
  <c r="H8" i="41"/>
  <c r="K39" i="36"/>
  <c r="H19" i="2"/>
  <c r="H17" i="26" s="1"/>
  <c r="I18" i="26" s="1"/>
  <c r="C45" i="41"/>
  <c r="H32" i="2"/>
  <c r="D39" i="2"/>
  <c r="D91" i="2" s="1"/>
  <c r="E124" i="4"/>
  <c r="D42" i="41"/>
  <c r="D26" i="27"/>
  <c r="C30" i="41"/>
  <c r="K45" i="36"/>
  <c r="K41" i="36"/>
  <c r="K46" i="36"/>
  <c r="K36" i="36"/>
  <c r="K37" i="36"/>
  <c r="K33" i="36"/>
  <c r="O34" i="36" s="1"/>
  <c r="K40" i="36"/>
  <c r="K42" i="36"/>
  <c r="K71" i="36"/>
  <c r="O72" i="36" s="1"/>
  <c r="D45" i="41"/>
  <c r="D65" i="41"/>
  <c r="H57" i="26"/>
  <c r="U49" i="17"/>
  <c r="D19" i="24"/>
  <c r="D62" i="6"/>
  <c r="G31" i="25"/>
  <c r="G41" i="25" s="1"/>
  <c r="G59" i="25"/>
  <c r="G20" i="25"/>
  <c r="B56" i="19"/>
  <c r="B58" i="19" s="1"/>
  <c r="C16" i="17"/>
  <c r="B10" i="25"/>
  <c r="C10" i="25"/>
  <c r="M14" i="12"/>
  <c r="I63" i="12"/>
  <c r="I65" i="12"/>
  <c r="I19" i="34"/>
  <c r="H108" i="18"/>
  <c r="F82" i="8"/>
  <c r="F83" i="8"/>
  <c r="F84" i="8"/>
  <c r="F81" i="8"/>
  <c r="F85" i="8"/>
  <c r="C63" i="12"/>
  <c r="C64" i="12" s="1"/>
  <c r="C19" i="34"/>
  <c r="D53" i="12"/>
  <c r="H53" i="12"/>
  <c r="D68" i="12"/>
  <c r="H68" i="12"/>
  <c r="K76" i="35"/>
  <c r="K65" i="35"/>
  <c r="K51" i="35"/>
  <c r="K38" i="35"/>
  <c r="K63" i="35"/>
  <c r="K74" i="35"/>
  <c r="K36" i="35"/>
  <c r="K49" i="35"/>
  <c r="K25" i="35"/>
  <c r="O64" i="12"/>
  <c r="V49" i="17"/>
  <c r="E19" i="24"/>
  <c r="E62" i="6"/>
  <c r="F18" i="24"/>
  <c r="F75" i="24"/>
  <c r="F64" i="24"/>
  <c r="F50" i="24"/>
  <c r="F59" i="25"/>
  <c r="F31" i="25"/>
  <c r="F41" i="25" s="1"/>
  <c r="L14" i="12"/>
  <c r="H65" i="12"/>
  <c r="H63" i="12"/>
  <c r="H19" i="34"/>
  <c r="G75" i="24"/>
  <c r="G64" i="24"/>
  <c r="G50" i="24"/>
  <c r="G38" i="24"/>
  <c r="G18" i="24"/>
  <c r="W49" i="17"/>
  <c r="F19" i="24"/>
  <c r="F62" i="6"/>
  <c r="D39" i="34"/>
  <c r="D66" i="34"/>
  <c r="D77" i="34"/>
  <c r="D52" i="34"/>
  <c r="D25" i="34"/>
  <c r="D23" i="34"/>
  <c r="D24" i="34"/>
  <c r="D22" i="34"/>
  <c r="D26" i="34"/>
  <c r="D19" i="36"/>
  <c r="D24" i="12"/>
  <c r="D31" i="25"/>
  <c r="D41" i="25" s="1"/>
  <c r="D59" i="25"/>
  <c r="D20" i="25"/>
  <c r="E108" i="18"/>
  <c r="C44" i="19"/>
  <c r="D16" i="17"/>
  <c r="B65" i="25"/>
  <c r="C26" i="25"/>
  <c r="H19" i="24"/>
  <c r="H62" i="6"/>
  <c r="I107" i="11"/>
  <c r="A3" i="6"/>
  <c r="B13" i="6" s="1"/>
  <c r="C69" i="17" s="1"/>
  <c r="M81" i="8"/>
  <c r="M85" i="8"/>
  <c r="M82" i="8"/>
  <c r="M83" i="8"/>
  <c r="M84" i="8"/>
  <c r="E83" i="8"/>
  <c r="E84" i="8"/>
  <c r="E81" i="8"/>
  <c r="E85" i="8"/>
  <c r="E82" i="8"/>
  <c r="C53" i="12"/>
  <c r="G53" i="12"/>
  <c r="K24" i="35"/>
  <c r="K39" i="34"/>
  <c r="O40" i="34" s="1"/>
  <c r="K66" i="34"/>
  <c r="O67" i="34" s="1"/>
  <c r="K77" i="34"/>
  <c r="O78" i="34" s="1"/>
  <c r="K52" i="34"/>
  <c r="O53" i="34" s="1"/>
  <c r="K22" i="34"/>
  <c r="K23" i="34"/>
  <c r="K26" i="34"/>
  <c r="K24" i="34"/>
  <c r="K25" i="34"/>
  <c r="K22" i="35"/>
  <c r="X49" i="17"/>
  <c r="G19" i="24"/>
  <c r="G62" i="6"/>
  <c r="F63" i="12"/>
  <c r="F65" i="12"/>
  <c r="F19" i="34"/>
  <c r="D75" i="24"/>
  <c r="D64" i="24"/>
  <c r="D50" i="24"/>
  <c r="D18" i="24"/>
  <c r="E24" i="11"/>
  <c r="E19" i="25"/>
  <c r="F20" i="25" s="1"/>
  <c r="B108" i="18"/>
  <c r="F108" i="18"/>
  <c r="G16" i="17"/>
  <c r="C10" i="24"/>
  <c r="B42" i="24"/>
  <c r="C43" i="24" s="1"/>
  <c r="H59" i="25"/>
  <c r="H20" i="25"/>
  <c r="H31" i="25"/>
  <c r="H41" i="25" s="1"/>
  <c r="H18" i="24"/>
  <c r="H75" i="24"/>
  <c r="H64" i="24"/>
  <c r="H50" i="24"/>
  <c r="H26" i="24"/>
  <c r="J63" i="12"/>
  <c r="J65" i="12"/>
  <c r="J19" i="34"/>
  <c r="E44" i="19"/>
  <c r="F16" i="17"/>
  <c r="H34" i="2"/>
  <c r="H7" i="8"/>
  <c r="D16" i="2"/>
  <c r="D7" i="8"/>
  <c r="C72" i="12"/>
  <c r="G72" i="12"/>
  <c r="A3" i="39"/>
  <c r="B13" i="39" s="1"/>
  <c r="O66" i="12"/>
  <c r="K82" i="12"/>
  <c r="N25" i="12"/>
  <c r="J75" i="12"/>
  <c r="J79" i="12"/>
  <c r="C75" i="24"/>
  <c r="C64" i="24"/>
  <c r="C50" i="24"/>
  <c r="C38" i="24"/>
  <c r="C18" i="24"/>
  <c r="T49" i="17"/>
  <c r="C19" i="24"/>
  <c r="C62" i="6"/>
  <c r="K14" i="12"/>
  <c r="G63" i="12"/>
  <c r="G64" i="12" s="1"/>
  <c r="G65" i="12"/>
  <c r="G19" i="34"/>
  <c r="C31" i="25"/>
  <c r="C41" i="25" s="1"/>
  <c r="C59" i="25"/>
  <c r="C60" i="25" s="1"/>
  <c r="C20" i="25"/>
  <c r="F73" i="6"/>
  <c r="F17" i="26"/>
  <c r="G44" i="19"/>
  <c r="H16" i="17"/>
  <c r="E18" i="24"/>
  <c r="E75" i="24"/>
  <c r="E64" i="24"/>
  <c r="E50" i="24"/>
  <c r="E38" i="24"/>
  <c r="G81" i="8"/>
  <c r="G85" i="8"/>
  <c r="G82" i="8"/>
  <c r="G83" i="8"/>
  <c r="G84" i="8"/>
  <c r="C81" i="8"/>
  <c r="C85" i="8"/>
  <c r="C82" i="8"/>
  <c r="C83" i="8"/>
  <c r="C84" i="8"/>
  <c r="C51" i="12"/>
  <c r="G51" i="12"/>
  <c r="C68" i="12"/>
  <c r="G68" i="12"/>
  <c r="D72" i="12"/>
  <c r="H72" i="12"/>
  <c r="K70" i="35"/>
  <c r="K45" i="35"/>
  <c r="K59" i="35"/>
  <c r="K23" i="35"/>
  <c r="K26" i="35" s="1"/>
  <c r="K32" i="35"/>
  <c r="K54" i="35"/>
  <c r="O55" i="35" s="1"/>
  <c r="M85" i="6"/>
  <c r="B59" i="11"/>
  <c r="B61" i="11"/>
  <c r="B57" i="11"/>
  <c r="F57" i="11"/>
  <c r="F59" i="11"/>
  <c r="F61" i="11"/>
  <c r="E88" i="17"/>
  <c r="E33" i="17"/>
  <c r="I33" i="17"/>
  <c r="I84" i="17" s="1"/>
  <c r="J33" i="17"/>
  <c r="J84" i="17" s="1"/>
  <c r="G35" i="17"/>
  <c r="A35" i="8"/>
  <c r="A28" i="35"/>
  <c r="A31" i="8"/>
  <c r="A31" i="24"/>
  <c r="B32" i="24" s="1"/>
  <c r="A31" i="34"/>
  <c r="A30" i="35"/>
  <c r="H176" i="17"/>
  <c r="C57" i="11"/>
  <c r="C59" i="11"/>
  <c r="C61" i="11"/>
  <c r="G57" i="11"/>
  <c r="G58" i="11" s="1"/>
  <c r="G59" i="11"/>
  <c r="G61" i="11"/>
  <c r="F88" i="17"/>
  <c r="F33" i="17"/>
  <c r="D89" i="17"/>
  <c r="D35" i="17"/>
  <c r="H89" i="17"/>
  <c r="H35" i="17"/>
  <c r="A65" i="26"/>
  <c r="A44" i="34"/>
  <c r="A41" i="35"/>
  <c r="A44" i="24"/>
  <c r="B45" i="24" s="1"/>
  <c r="A44" i="8"/>
  <c r="A43" i="35"/>
  <c r="D57" i="11"/>
  <c r="D58" i="11" s="1"/>
  <c r="D61" i="11"/>
  <c r="D59" i="11"/>
  <c r="G85" i="17"/>
  <c r="G33" i="17"/>
  <c r="G84" i="17" s="1"/>
  <c r="E89" i="17"/>
  <c r="E35" i="17"/>
  <c r="I35" i="17"/>
  <c r="J35" i="17"/>
  <c r="E57" i="11"/>
  <c r="F58" i="11" s="1"/>
  <c r="E61" i="11"/>
  <c r="E59" i="11"/>
  <c r="H57" i="11"/>
  <c r="I58" i="11" s="1"/>
  <c r="H61" i="11"/>
  <c r="H59" i="11"/>
  <c r="D85" i="17"/>
  <c r="D33" i="17"/>
  <c r="D84" i="17" s="1"/>
  <c r="H33" i="17"/>
  <c r="H84" i="17" s="1"/>
  <c r="F89" i="17"/>
  <c r="F35" i="17"/>
  <c r="B42" i="34"/>
  <c r="B29" i="34"/>
  <c r="B52" i="34"/>
  <c r="B23" i="34"/>
  <c r="B35" i="24"/>
  <c r="C36" i="24" s="1"/>
  <c r="B10" i="24"/>
  <c r="B69" i="24"/>
  <c r="C70" i="24" s="1"/>
  <c r="H36" i="13"/>
  <c r="H9" i="13"/>
  <c r="O58" i="13"/>
  <c r="I38" i="13"/>
  <c r="I90" i="13" s="1"/>
  <c r="I9" i="13"/>
  <c r="J23" i="13"/>
  <c r="J25" i="37" s="1"/>
  <c r="N26" i="37" s="1"/>
  <c r="J9" i="13"/>
  <c r="F60" i="13"/>
  <c r="G46" i="13"/>
  <c r="G9" i="13"/>
  <c r="O62" i="13"/>
  <c r="D61" i="12"/>
  <c r="D59" i="12"/>
  <c r="D57" i="12"/>
  <c r="C59" i="12"/>
  <c r="C61" i="12"/>
  <c r="C57" i="12"/>
  <c r="B57" i="12"/>
  <c r="F58" i="12" s="1"/>
  <c r="B59" i="12"/>
  <c r="F60" i="12" s="1"/>
  <c r="B61" i="12"/>
  <c r="F62" i="12" s="1"/>
  <c r="H17" i="2"/>
  <c r="H13" i="26" s="1"/>
  <c r="D8" i="2"/>
  <c r="D57" i="2" s="1"/>
  <c r="G9" i="2"/>
  <c r="C23" i="2"/>
  <c r="C25" i="26" s="1"/>
  <c r="C9" i="2"/>
  <c r="B35" i="2"/>
  <c r="B9" i="2"/>
  <c r="F38" i="2"/>
  <c r="F90" i="2" s="1"/>
  <c r="F9" i="2"/>
  <c r="E40" i="2"/>
  <c r="E9" i="2"/>
  <c r="H33" i="2"/>
  <c r="H9" i="2"/>
  <c r="D36" i="2"/>
  <c r="D9" i="2"/>
  <c r="B62" i="24"/>
  <c r="C63" i="24" s="1"/>
  <c r="I44" i="13"/>
  <c r="G17" i="13"/>
  <c r="G13" i="37" s="1"/>
  <c r="K14" i="37" s="1"/>
  <c r="G41" i="13"/>
  <c r="L76" i="17"/>
  <c r="J76" i="17"/>
  <c r="K76" i="17" s="1"/>
  <c r="J51" i="36"/>
  <c r="N52" i="36" s="1"/>
  <c r="N12" i="36"/>
  <c r="E24" i="31"/>
  <c r="E125" i="18"/>
  <c r="F12" i="4"/>
  <c r="F234" i="6" s="1"/>
  <c r="F25" i="4"/>
  <c r="G37" i="27" s="1"/>
  <c r="F45" i="4"/>
  <c r="F62" i="4"/>
  <c r="B63" i="4"/>
  <c r="B257" i="6" s="1"/>
  <c r="B50" i="4"/>
  <c r="B40" i="4"/>
  <c r="C282" i="17" s="1"/>
  <c r="B28" i="4"/>
  <c r="B16" i="4"/>
  <c r="B232" i="6" s="1"/>
  <c r="F124" i="4"/>
  <c r="Y49" i="17"/>
  <c r="I14" i="11"/>
  <c r="H69" i="11"/>
  <c r="I70" i="11" s="1"/>
  <c r="I53" i="11"/>
  <c r="J65" i="36"/>
  <c r="N66" i="36" s="1"/>
  <c r="N26" i="36"/>
  <c r="E88" i="34"/>
  <c r="J53" i="36"/>
  <c r="N54" i="36" s="1"/>
  <c r="N14" i="36"/>
  <c r="J63" i="36"/>
  <c r="N64" i="36" s="1"/>
  <c r="N24" i="36"/>
  <c r="J67" i="36"/>
  <c r="N68" i="36" s="1"/>
  <c r="N28" i="36"/>
  <c r="D38" i="41"/>
  <c r="H36" i="41"/>
  <c r="K44" i="36"/>
  <c r="O32" i="36"/>
  <c r="G90" i="17"/>
  <c r="I131" i="17"/>
  <c r="J110" i="17"/>
  <c r="E21" i="27"/>
  <c r="E20" i="31"/>
  <c r="H183" i="17"/>
  <c r="E11" i="27"/>
  <c r="E14" i="31"/>
  <c r="E11" i="31"/>
  <c r="E31" i="31"/>
  <c r="E29" i="31"/>
  <c r="E90" i="17"/>
  <c r="B123" i="18"/>
  <c r="B126" i="18" s="1"/>
  <c r="F125" i="18"/>
  <c r="F16" i="4"/>
  <c r="F232" i="6" s="1"/>
  <c r="F31" i="4"/>
  <c r="F48" i="4"/>
  <c r="F63" i="4"/>
  <c r="F257" i="6" s="1"/>
  <c r="B59" i="4"/>
  <c r="B48" i="4"/>
  <c r="B37" i="4"/>
  <c r="B21" i="4"/>
  <c r="B102" i="4" s="1"/>
  <c r="B14" i="4"/>
  <c r="J55" i="36"/>
  <c r="N56" i="36" s="1"/>
  <c r="N16" i="36"/>
  <c r="J69" i="36"/>
  <c r="N70" i="36" s="1"/>
  <c r="N30" i="36"/>
  <c r="D59" i="41"/>
  <c r="H11" i="41"/>
  <c r="H26" i="41"/>
  <c r="H29" i="41"/>
  <c r="H83" i="41" s="1"/>
  <c r="D125" i="18"/>
  <c r="J61" i="36"/>
  <c r="N62" i="36" s="1"/>
  <c r="N22" i="36"/>
  <c r="E23" i="27"/>
  <c r="E28" i="31"/>
  <c r="E10" i="31"/>
  <c r="E20" i="27"/>
  <c r="E18" i="31"/>
  <c r="E17" i="31"/>
  <c r="E8" i="31"/>
  <c r="E15" i="31"/>
  <c r="C123" i="18"/>
  <c r="C126" i="18" s="1"/>
  <c r="G125" i="18"/>
  <c r="F8" i="4"/>
  <c r="F19" i="4"/>
  <c r="F32" i="4"/>
  <c r="F53" i="4"/>
  <c r="D19" i="13"/>
  <c r="D17" i="37" s="1"/>
  <c r="D57" i="37" s="1"/>
  <c r="D58" i="37" s="1"/>
  <c r="B54" i="4"/>
  <c r="C288" i="17" s="1"/>
  <c r="B45" i="4"/>
  <c r="B35" i="4"/>
  <c r="B20" i="4"/>
  <c r="B235" i="6" s="1"/>
  <c r="B124" i="4"/>
  <c r="H123" i="18"/>
  <c r="H126" i="18" s="1"/>
  <c r="N14" i="12"/>
  <c r="I88" i="17"/>
  <c r="J49" i="36"/>
  <c r="N50" i="36" s="1"/>
  <c r="N10" i="36"/>
  <c r="J57" i="36"/>
  <c r="N58" i="36" s="1"/>
  <c r="N18" i="36"/>
  <c r="D41" i="41"/>
  <c r="D54" i="41"/>
  <c r="D103" i="41" s="1"/>
  <c r="H15" i="41"/>
  <c r="K67" i="37"/>
  <c r="O68" i="37" s="1"/>
  <c r="O28" i="37"/>
  <c r="K59" i="37"/>
  <c r="O60" i="37" s="1"/>
  <c r="O20" i="37"/>
  <c r="J65" i="37"/>
  <c r="N66" i="37" s="1"/>
  <c r="O14" i="13"/>
  <c r="G16" i="4"/>
  <c r="G232" i="6" s="1"/>
  <c r="I226" i="6"/>
  <c r="M10" i="37"/>
  <c r="B3" i="13"/>
  <c r="F44" i="30"/>
  <c r="F56" i="30"/>
  <c r="G44" i="30"/>
  <c r="G56" i="30"/>
  <c r="G58" i="30" s="1"/>
  <c r="C44" i="30"/>
  <c r="C56" i="30"/>
  <c r="C58" i="30" s="1"/>
  <c r="H44" i="30"/>
  <c r="H56" i="30"/>
  <c r="H58" i="30" s="1"/>
  <c r="E44" i="30"/>
  <c r="E56" i="30"/>
  <c r="B44" i="30"/>
  <c r="B56" i="30"/>
  <c r="B58" i="30" s="1"/>
  <c r="I19" i="36"/>
  <c r="M20" i="36" s="1"/>
  <c r="I24" i="12"/>
  <c r="G9" i="17"/>
  <c r="I9" i="17"/>
  <c r="G33" i="13"/>
  <c r="C35" i="13"/>
  <c r="G15" i="13"/>
  <c r="G21" i="13"/>
  <c r="G94" i="13" s="1"/>
  <c r="D38" i="13"/>
  <c r="D90" i="13" s="1"/>
  <c r="D92" i="13" s="1"/>
  <c r="C42" i="13"/>
  <c r="B29" i="41"/>
  <c r="B83" i="41" s="1"/>
  <c r="G226" i="6"/>
  <c r="D17" i="13"/>
  <c r="D13" i="37" s="1"/>
  <c r="G22" i="13"/>
  <c r="G23" i="37" s="1"/>
  <c r="K24" i="37" s="1"/>
  <c r="G38" i="13"/>
  <c r="G90" i="13" s="1"/>
  <c r="C16" i="13"/>
  <c r="C77" i="13" s="1"/>
  <c r="C78" i="13" s="1"/>
  <c r="J36" i="41"/>
  <c r="I53" i="36"/>
  <c r="M54" i="36" s="1"/>
  <c r="M14" i="36"/>
  <c r="H55" i="36"/>
  <c r="L56" i="36" s="1"/>
  <c r="L16" i="36"/>
  <c r="H69" i="36"/>
  <c r="L70" i="36" s="1"/>
  <c r="L30" i="36"/>
  <c r="I55" i="36"/>
  <c r="M56" i="36" s="1"/>
  <c r="M16" i="36"/>
  <c r="H57" i="36"/>
  <c r="L58" i="36" s="1"/>
  <c r="L18" i="36"/>
  <c r="I49" i="36"/>
  <c r="M50" i="36" s="1"/>
  <c r="M10" i="36"/>
  <c r="H51" i="36"/>
  <c r="L52" i="36" s="1"/>
  <c r="L12" i="36"/>
  <c r="I57" i="36"/>
  <c r="M58" i="36" s="1"/>
  <c r="M18" i="36"/>
  <c r="I63" i="36"/>
  <c r="M64" i="36" s="1"/>
  <c r="M24" i="36"/>
  <c r="I65" i="36"/>
  <c r="M66" i="36" s="1"/>
  <c r="M26" i="36"/>
  <c r="I67" i="36"/>
  <c r="M68" i="36" s="1"/>
  <c r="M28" i="36"/>
  <c r="I51" i="36"/>
  <c r="M52" i="36" s="1"/>
  <c r="M12" i="36"/>
  <c r="H53" i="36"/>
  <c r="L54" i="36" s="1"/>
  <c r="L14" i="36"/>
  <c r="I61" i="36"/>
  <c r="M22" i="36"/>
  <c r="H63" i="36"/>
  <c r="L64" i="36" s="1"/>
  <c r="L24" i="36"/>
  <c r="H67" i="36"/>
  <c r="L68" i="36" s="1"/>
  <c r="L28" i="36"/>
  <c r="A42" i="24"/>
  <c r="A58" i="34"/>
  <c r="D23" i="27"/>
  <c r="D9" i="31"/>
  <c r="D28" i="31"/>
  <c r="H15" i="27"/>
  <c r="H27" i="31"/>
  <c r="H61" i="31" s="1"/>
  <c r="C63" i="41"/>
  <c r="G38" i="41"/>
  <c r="G28" i="41"/>
  <c r="C62" i="41"/>
  <c r="D25" i="27"/>
  <c r="D18" i="27"/>
  <c r="E24" i="27"/>
  <c r="E21" i="31"/>
  <c r="E25" i="31"/>
  <c r="E30" i="31"/>
  <c r="E32" i="31"/>
  <c r="E16" i="31"/>
  <c r="B56" i="4"/>
  <c r="D19" i="31"/>
  <c r="D15" i="31"/>
  <c r="E19" i="31"/>
  <c r="E23" i="31"/>
  <c r="H31" i="27"/>
  <c r="F10" i="4"/>
  <c r="E19" i="4"/>
  <c r="F27" i="4"/>
  <c r="F42" i="4"/>
  <c r="F54" i="4"/>
  <c r="F103" i="4" s="1"/>
  <c r="F64" i="4"/>
  <c r="G11" i="13"/>
  <c r="G15" i="35" s="1"/>
  <c r="G18" i="13"/>
  <c r="G15" i="37" s="1"/>
  <c r="K16" i="37" s="1"/>
  <c r="G29" i="13"/>
  <c r="G29" i="37" s="1"/>
  <c r="K30" i="37" s="1"/>
  <c r="G34" i="13"/>
  <c r="G42" i="13"/>
  <c r="B65" i="4"/>
  <c r="B53" i="4"/>
  <c r="B46" i="4"/>
  <c r="B38" i="4"/>
  <c r="B31" i="4"/>
  <c r="B18" i="4"/>
  <c r="B8" i="4"/>
  <c r="D21" i="31"/>
  <c r="C15" i="13"/>
  <c r="C9" i="37" s="1"/>
  <c r="C49" i="37" s="1"/>
  <c r="C50" i="37" s="1"/>
  <c r="C39" i="13"/>
  <c r="C91" i="13" s="1"/>
  <c r="C41" i="13"/>
  <c r="A67" i="37"/>
  <c r="I16" i="31"/>
  <c r="I26" i="31"/>
  <c r="F55" i="41"/>
  <c r="B40" i="41"/>
  <c r="H28" i="41"/>
  <c r="D62" i="41"/>
  <c r="F35" i="41"/>
  <c r="H55" i="41"/>
  <c r="D16" i="41"/>
  <c r="C40" i="41"/>
  <c r="C26" i="41"/>
  <c r="D32" i="27"/>
  <c r="D25" i="31"/>
  <c r="G24" i="11"/>
  <c r="G79" i="11" s="1"/>
  <c r="H25" i="27"/>
  <c r="C24" i="18"/>
  <c r="C110" i="18" s="1"/>
  <c r="E10" i="4"/>
  <c r="D10" i="31"/>
  <c r="D35" i="31"/>
  <c r="E89" i="34"/>
  <c r="D31" i="27"/>
  <c r="D17" i="31"/>
  <c r="D11" i="31"/>
  <c r="H14" i="27"/>
  <c r="H109" i="18"/>
  <c r="G39" i="2"/>
  <c r="G91" i="2" s="1"/>
  <c r="D109" i="18"/>
  <c r="F41" i="2"/>
  <c r="G31" i="13"/>
  <c r="C63" i="19"/>
  <c r="C19" i="13"/>
  <c r="C17" i="37" s="1"/>
  <c r="C18" i="37" s="1"/>
  <c r="C44" i="13"/>
  <c r="C32" i="13"/>
  <c r="A69" i="25"/>
  <c r="I11" i="31"/>
  <c r="I32" i="31"/>
  <c r="H48" i="41"/>
  <c r="C39" i="41"/>
  <c r="H18" i="41"/>
  <c r="D52" i="41"/>
  <c r="G32" i="41"/>
  <c r="D17" i="41"/>
  <c r="H46" i="41"/>
  <c r="D64" i="41"/>
  <c r="C36" i="41"/>
  <c r="D26" i="41"/>
  <c r="A60" i="8"/>
  <c r="A49" i="37"/>
  <c r="A49" i="25"/>
  <c r="A69" i="26"/>
  <c r="A50" i="24"/>
  <c r="I19" i="31"/>
  <c r="I23" i="31"/>
  <c r="D63" i="41"/>
  <c r="D48" i="41"/>
  <c r="D28" i="41"/>
  <c r="D18" i="41"/>
  <c r="D11" i="41"/>
  <c r="H56" i="41"/>
  <c r="H47" i="41"/>
  <c r="H21" i="41"/>
  <c r="H102" i="41" s="1"/>
  <c r="H10" i="41"/>
  <c r="D55" i="41"/>
  <c r="D46" i="41"/>
  <c r="D36" i="41"/>
  <c r="H20" i="41"/>
  <c r="H9" i="41"/>
  <c r="H60" i="41"/>
  <c r="H50" i="41"/>
  <c r="H35" i="41"/>
  <c r="D29" i="41"/>
  <c r="D83" i="41" s="1"/>
  <c r="D25" i="41"/>
  <c r="D15" i="41"/>
  <c r="D8" i="41"/>
  <c r="E90" i="34"/>
  <c r="A58" i="24"/>
  <c r="A46" i="8"/>
  <c r="C27" i="13"/>
  <c r="C27" i="37" s="1"/>
  <c r="C28" i="37" s="1"/>
  <c r="C21" i="13"/>
  <c r="C94" i="13" s="1"/>
  <c r="C11" i="13"/>
  <c r="C15" i="35" s="1"/>
  <c r="C46" i="13"/>
  <c r="A60" i="34"/>
  <c r="A57" i="25"/>
  <c r="A57" i="36"/>
  <c r="A69" i="36"/>
  <c r="H124" i="41"/>
  <c r="I20" i="31"/>
  <c r="I27" i="31"/>
  <c r="I61" i="31" s="1"/>
  <c r="I62" i="31" s="1"/>
  <c r="H53" i="41"/>
  <c r="H32" i="41"/>
  <c r="H22" i="41"/>
  <c r="H14" i="41"/>
  <c r="D56" i="41"/>
  <c r="D47" i="41"/>
  <c r="H37" i="41"/>
  <c r="H84" i="41" s="1"/>
  <c r="H31" i="41"/>
  <c r="H27" i="41"/>
  <c r="D21" i="41"/>
  <c r="D102" i="41" s="1"/>
  <c r="D10" i="41"/>
  <c r="H61" i="41"/>
  <c r="H51" i="41"/>
  <c r="H40" i="41"/>
  <c r="H30" i="41"/>
  <c r="D20" i="41"/>
  <c r="D9" i="41"/>
  <c r="D60" i="41"/>
  <c r="D50" i="41"/>
  <c r="H39" i="41"/>
  <c r="D35" i="41"/>
  <c r="H19" i="41"/>
  <c r="H12" i="41"/>
  <c r="H44" i="18"/>
  <c r="H115" i="18" s="1"/>
  <c r="F109" i="18"/>
  <c r="F35" i="2"/>
  <c r="G8" i="13"/>
  <c r="G9" i="35" s="1"/>
  <c r="G16" i="13"/>
  <c r="G11" i="37" s="1"/>
  <c r="G23" i="13"/>
  <c r="G25" i="37" s="1"/>
  <c r="G65" i="37" s="1"/>
  <c r="K66" i="37" s="1"/>
  <c r="G35" i="13"/>
  <c r="G39" i="13"/>
  <c r="G91" i="13" s="1"/>
  <c r="G44" i="13"/>
  <c r="B29" i="2"/>
  <c r="C241" i="17" s="1"/>
  <c r="B7" i="8"/>
  <c r="B58" i="24"/>
  <c r="C59" i="24" s="1"/>
  <c r="F10" i="2"/>
  <c r="F15" i="4"/>
  <c r="F233" i="6" s="1"/>
  <c r="F21" i="4"/>
  <c r="F102" i="4" s="1"/>
  <c r="F30" i="4"/>
  <c r="F240" i="6" s="1"/>
  <c r="F41" i="4"/>
  <c r="F52" i="4"/>
  <c r="G10" i="13"/>
  <c r="G19" i="13"/>
  <c r="G17" i="37" s="1"/>
  <c r="G27" i="13"/>
  <c r="E60" i="31" s="1"/>
  <c r="E62" i="31" s="1"/>
  <c r="G32" i="13"/>
  <c r="G36" i="13"/>
  <c r="G40" i="13"/>
  <c r="B61" i="4"/>
  <c r="B52" i="4"/>
  <c r="B47" i="4"/>
  <c r="B222" i="6" s="1"/>
  <c r="B224" i="6" s="1"/>
  <c r="B226" i="6" s="1"/>
  <c r="B41" i="4"/>
  <c r="B36" i="4"/>
  <c r="B30" i="4"/>
  <c r="B240" i="6" s="1"/>
  <c r="B19" i="4"/>
  <c r="A46" i="24"/>
  <c r="A64" i="8"/>
  <c r="C38" i="13"/>
  <c r="C90" i="13" s="1"/>
  <c r="C29" i="13"/>
  <c r="C29" i="37" s="1"/>
  <c r="G30" i="37" s="1"/>
  <c r="C22" i="13"/>
  <c r="C23" i="37" s="1"/>
  <c r="C24" i="37" s="1"/>
  <c r="C36" i="13"/>
  <c r="A66" i="34"/>
  <c r="A59" i="37"/>
  <c r="A61" i="25"/>
  <c r="I15" i="31"/>
  <c r="I8" i="31"/>
  <c r="I29" i="31"/>
  <c r="H59" i="41"/>
  <c r="D53" i="41"/>
  <c r="H42" i="41"/>
  <c r="H38" i="41"/>
  <c r="D32" i="41"/>
  <c r="D22" i="41"/>
  <c r="D14" i="41"/>
  <c r="H62" i="41"/>
  <c r="H52" i="41"/>
  <c r="H41" i="41"/>
  <c r="D37" i="41"/>
  <c r="D84" i="41" s="1"/>
  <c r="D31" i="41"/>
  <c r="D27" i="41"/>
  <c r="H17" i="41"/>
  <c r="H65" i="41"/>
  <c r="D61" i="41"/>
  <c r="D51" i="41"/>
  <c r="D40" i="41"/>
  <c r="D30" i="41"/>
  <c r="H16" i="41"/>
  <c r="H64" i="41"/>
  <c r="H54" i="41"/>
  <c r="H103" i="41" s="1"/>
  <c r="H45" i="41"/>
  <c r="D39" i="41"/>
  <c r="H25" i="41"/>
  <c r="D19" i="41"/>
  <c r="D12" i="41"/>
  <c r="B125" i="40"/>
  <c r="K24" i="13"/>
  <c r="G25" i="4"/>
  <c r="H15" i="13"/>
  <c r="H9" i="37" s="1"/>
  <c r="D18" i="13"/>
  <c r="D15" i="37" s="1"/>
  <c r="D55" i="37" s="1"/>
  <c r="D56" i="37" s="1"/>
  <c r="D21" i="13"/>
  <c r="D94" i="13" s="1"/>
  <c r="C32" i="4"/>
  <c r="A57" i="26"/>
  <c r="A46" i="34"/>
  <c r="A57" i="35"/>
  <c r="A59" i="26"/>
  <c r="A53" i="25"/>
  <c r="A61" i="37"/>
  <c r="A51" i="36"/>
  <c r="A63" i="25"/>
  <c r="G39" i="4"/>
  <c r="G65" i="4"/>
  <c r="E18" i="2"/>
  <c r="D33" i="13"/>
  <c r="H35" i="13"/>
  <c r="E92" i="34"/>
  <c r="A48" i="24"/>
  <c r="A62" i="8"/>
  <c r="A55" i="25"/>
  <c r="A52" i="12"/>
  <c r="E53" i="12" s="1"/>
  <c r="A65" i="35"/>
  <c r="A55" i="36"/>
  <c r="A59" i="25"/>
  <c r="B60" i="25" s="1"/>
  <c r="A69" i="37"/>
  <c r="A67" i="36"/>
  <c r="B19" i="36"/>
  <c r="B59" i="36" s="1"/>
  <c r="F60" i="36" s="1"/>
  <c r="H90" i="2"/>
  <c r="H46" i="27" s="1"/>
  <c r="D31" i="2"/>
  <c r="H8" i="2"/>
  <c r="H9" i="8" s="1"/>
  <c r="H15" i="2"/>
  <c r="H9" i="26" s="1"/>
  <c r="H36" i="2"/>
  <c r="H42" i="2"/>
  <c r="I36" i="13"/>
  <c r="I35" i="13"/>
  <c r="G124" i="4"/>
  <c r="G48" i="4"/>
  <c r="D41" i="2"/>
  <c r="E19" i="13"/>
  <c r="C64" i="4"/>
  <c r="C36" i="4"/>
  <c r="I49" i="37"/>
  <c r="M50" i="37" s="1"/>
  <c r="I50" i="41"/>
  <c r="D15" i="2"/>
  <c r="D9" i="26" s="1"/>
  <c r="H11" i="2"/>
  <c r="H16" i="2"/>
  <c r="H11" i="26" s="1"/>
  <c r="H41" i="2"/>
  <c r="I11" i="13"/>
  <c r="I15" i="35" s="1"/>
  <c r="I29" i="13"/>
  <c r="I29" i="37" s="1"/>
  <c r="I34" i="13"/>
  <c r="G31" i="4"/>
  <c r="G62" i="4"/>
  <c r="I22" i="13"/>
  <c r="I23" i="37" s="1"/>
  <c r="G11" i="4"/>
  <c r="D11" i="2"/>
  <c r="E18" i="13"/>
  <c r="E15" i="37" s="1"/>
  <c r="C38" i="4"/>
  <c r="C245" i="6" s="1"/>
  <c r="C27" i="4"/>
  <c r="B15" i="31"/>
  <c r="B35" i="31"/>
  <c r="B29" i="27"/>
  <c r="D32" i="2"/>
  <c r="D34" i="2"/>
  <c r="H18" i="2"/>
  <c r="I21" i="13"/>
  <c r="I31" i="13"/>
  <c r="I18" i="13"/>
  <c r="I15" i="37" s="1"/>
  <c r="G45" i="4"/>
  <c r="G56" i="4"/>
  <c r="I16" i="13"/>
  <c r="I11" i="37" s="1"/>
  <c r="D44" i="2"/>
  <c r="E17" i="13"/>
  <c r="E13" i="37" s="1"/>
  <c r="E53" i="37" s="1"/>
  <c r="D22" i="2"/>
  <c r="D23" i="26" s="1"/>
  <c r="C61" i="4"/>
  <c r="C30" i="4"/>
  <c r="C240" i="6" s="1"/>
  <c r="C11" i="4"/>
  <c r="F24" i="31"/>
  <c r="B89" i="34"/>
  <c r="C80" i="35"/>
  <c r="F67" i="6"/>
  <c r="B3" i="12"/>
  <c r="C53" i="11"/>
  <c r="G26" i="4"/>
  <c r="G30" i="4"/>
  <c r="G240" i="6" s="1"/>
  <c r="G63" i="4"/>
  <c r="G257" i="6" s="1"/>
  <c r="G53" i="4"/>
  <c r="G47" i="4"/>
  <c r="G9" i="4"/>
  <c r="G17" i="4"/>
  <c r="G22" i="4"/>
  <c r="G51" i="4"/>
  <c r="G8" i="4"/>
  <c r="G28" i="4"/>
  <c r="G41" i="4"/>
  <c r="C22" i="4"/>
  <c r="F72" i="18"/>
  <c r="F92" i="18" s="1"/>
  <c r="C63" i="4"/>
  <c r="C257" i="6" s="1"/>
  <c r="C56" i="4"/>
  <c r="C53" i="4"/>
  <c r="C51" i="4"/>
  <c r="C48" i="4"/>
  <c r="C46" i="4"/>
  <c r="C42" i="4"/>
  <c r="C40" i="4"/>
  <c r="D282" i="17" s="1"/>
  <c r="C26" i="4"/>
  <c r="C20" i="4"/>
  <c r="C235" i="6" s="1"/>
  <c r="C18" i="4"/>
  <c r="C16" i="4"/>
  <c r="C232" i="6" s="1"/>
  <c r="C14" i="4"/>
  <c r="C10" i="4"/>
  <c r="C124" i="4"/>
  <c r="B27" i="31"/>
  <c r="B61" i="31" s="1"/>
  <c r="D90" i="34"/>
  <c r="B19" i="13"/>
  <c r="B17" i="37" s="1"/>
  <c r="B57" i="37" s="1"/>
  <c r="H82" i="35"/>
  <c r="B3" i="40"/>
  <c r="B86" i="40" s="1"/>
  <c r="D89" i="34"/>
  <c r="B28" i="27"/>
  <c r="B11" i="27"/>
  <c r="C28" i="4"/>
  <c r="F32" i="27"/>
  <c r="G14" i="4"/>
  <c r="G46" i="4"/>
  <c r="G52" i="4"/>
  <c r="G29" i="4"/>
  <c r="G83" i="4" s="1"/>
  <c r="G27" i="4"/>
  <c r="G40" i="4"/>
  <c r="H282" i="17" s="1"/>
  <c r="G20" i="4"/>
  <c r="G235" i="6" s="1"/>
  <c r="G12" i="4"/>
  <c r="G32" i="4"/>
  <c r="G42" i="4"/>
  <c r="G35" i="4"/>
  <c r="G59" i="4"/>
  <c r="C24" i="11"/>
  <c r="C26" i="11" s="1"/>
  <c r="C14" i="11"/>
  <c r="E24" i="18"/>
  <c r="E110" i="18" s="1"/>
  <c r="B18" i="27"/>
  <c r="C65" i="4"/>
  <c r="C60" i="4"/>
  <c r="C55" i="4"/>
  <c r="C37" i="4"/>
  <c r="C35" i="4"/>
  <c r="C31" i="4"/>
  <c r="C29" i="4"/>
  <c r="C83" i="4" s="1"/>
  <c r="C25" i="4"/>
  <c r="C9" i="4"/>
  <c r="C229" i="6" s="1"/>
  <c r="B25" i="31"/>
  <c r="B8" i="31"/>
  <c r="E27" i="38"/>
  <c r="C53" i="2"/>
  <c r="I8" i="17"/>
  <c r="C40" i="19"/>
  <c r="C41" i="19" s="1"/>
  <c r="G18" i="4"/>
  <c r="G36" i="4"/>
  <c r="G10" i="4"/>
  <c r="G230" i="6" s="1"/>
  <c r="G19" i="4"/>
  <c r="G37" i="4"/>
  <c r="G84" i="4" s="1"/>
  <c r="G61" i="4"/>
  <c r="G15" i="4"/>
  <c r="G233" i="6" s="1"/>
  <c r="G55" i="4"/>
  <c r="G60" i="4"/>
  <c r="G64" i="4"/>
  <c r="G50" i="4"/>
  <c r="G21" i="4"/>
  <c r="G102" i="4" s="1"/>
  <c r="G104" i="4" s="1"/>
  <c r="G38" i="4"/>
  <c r="G245" i="6" s="1"/>
  <c r="B63" i="19"/>
  <c r="C62" i="4"/>
  <c r="C59" i="4"/>
  <c r="C54" i="4"/>
  <c r="C52" i="4"/>
  <c r="C50" i="4"/>
  <c r="C47" i="4"/>
  <c r="C45" i="4"/>
  <c r="C41" i="4"/>
  <c r="C39" i="4"/>
  <c r="C21" i="4"/>
  <c r="C102" i="4" s="1"/>
  <c r="C19" i="4"/>
  <c r="C17" i="4"/>
  <c r="C15" i="4"/>
  <c r="C233" i="6" s="1"/>
  <c r="C12" i="4"/>
  <c r="B32" i="31"/>
  <c r="A37" i="24"/>
  <c r="B38" i="24" s="1"/>
  <c r="A33" i="34"/>
  <c r="J93" i="34"/>
  <c r="G93" i="34"/>
  <c r="F53" i="39"/>
  <c r="I82" i="40"/>
  <c r="C51" i="2"/>
  <c r="E82" i="40"/>
  <c r="C110" i="40"/>
  <c r="F24" i="18"/>
  <c r="F34" i="18" s="1"/>
  <c r="F100" i="18" s="1"/>
  <c r="B24" i="18"/>
  <c r="B110" i="18" s="1"/>
  <c r="C67" i="6"/>
  <c r="E104" i="18"/>
  <c r="C90" i="34"/>
  <c r="J104" i="40"/>
  <c r="K55" i="39"/>
  <c r="K57" i="39"/>
  <c r="E15" i="2"/>
  <c r="E39" i="2"/>
  <c r="E91" i="2" s="1"/>
  <c r="D41" i="4"/>
  <c r="D62" i="4"/>
  <c r="H8" i="13"/>
  <c r="H9" i="35" s="1"/>
  <c r="H10" i="13"/>
  <c r="H11" i="13"/>
  <c r="H15" i="35" s="1"/>
  <c r="D16" i="13"/>
  <c r="D77" i="13" s="1"/>
  <c r="D78" i="13" s="1"/>
  <c r="H23" i="13"/>
  <c r="H25" i="37" s="1"/>
  <c r="H29" i="13"/>
  <c r="H29" i="37" s="1"/>
  <c r="L30" i="37" s="1"/>
  <c r="D32" i="13"/>
  <c r="H34" i="13"/>
  <c r="D36" i="13"/>
  <c r="H39" i="13"/>
  <c r="H91" i="13" s="1"/>
  <c r="H41" i="13"/>
  <c r="H44" i="13"/>
  <c r="D21" i="27"/>
  <c r="D20" i="27"/>
  <c r="D19" i="27"/>
  <c r="D30" i="27"/>
  <c r="D16" i="27"/>
  <c r="D21" i="2"/>
  <c r="D27" i="2"/>
  <c r="D23" i="2"/>
  <c r="D25" i="26" s="1"/>
  <c r="F24" i="12"/>
  <c r="D32" i="31"/>
  <c r="D23" i="31"/>
  <c r="D8" i="31"/>
  <c r="C20" i="27"/>
  <c r="B29" i="24"/>
  <c r="C30" i="24" s="1"/>
  <c r="D24" i="31"/>
  <c r="D14" i="31"/>
  <c r="H23" i="27"/>
  <c r="H21" i="2"/>
  <c r="H22" i="2"/>
  <c r="H23" i="26" s="1"/>
  <c r="H39" i="2"/>
  <c r="H91" i="2" s="1"/>
  <c r="H46" i="2"/>
  <c r="H31" i="2"/>
  <c r="H40" i="2"/>
  <c r="H38" i="4"/>
  <c r="H245" i="6" s="1"/>
  <c r="I39" i="13"/>
  <c r="I91" i="13" s="1"/>
  <c r="I92" i="13" s="1"/>
  <c r="I17" i="13"/>
  <c r="I13" i="37" s="1"/>
  <c r="I19" i="13"/>
  <c r="G73" i="39" s="1"/>
  <c r="I33" i="13"/>
  <c r="I42" i="13"/>
  <c r="I23" i="13"/>
  <c r="I25" i="37" s="1"/>
  <c r="I8" i="13"/>
  <c r="I9" i="35" s="1"/>
  <c r="F24" i="11"/>
  <c r="F26" i="11" s="1"/>
  <c r="D10" i="2"/>
  <c r="D13" i="8" s="1"/>
  <c r="E16" i="2"/>
  <c r="E22" i="2"/>
  <c r="E23" i="26" s="1"/>
  <c r="D38" i="2"/>
  <c r="D40" i="2"/>
  <c r="D46" i="2"/>
  <c r="D21" i="4"/>
  <c r="D102" i="4" s="1"/>
  <c r="E26" i="4"/>
  <c r="D50" i="4"/>
  <c r="E62" i="4"/>
  <c r="D8" i="13"/>
  <c r="D9" i="35" s="1"/>
  <c r="D10" i="13"/>
  <c r="D11" i="13"/>
  <c r="D15" i="35" s="1"/>
  <c r="D15" i="13"/>
  <c r="D9" i="37" s="1"/>
  <c r="D10" i="37" s="1"/>
  <c r="H21" i="13"/>
  <c r="H94" i="13" s="1"/>
  <c r="D23" i="13"/>
  <c r="D25" i="37" s="1"/>
  <c r="D27" i="13"/>
  <c r="B60" i="31" s="1"/>
  <c r="D29" i="13"/>
  <c r="D29" i="37" s="1"/>
  <c r="D30" i="37" s="1"/>
  <c r="D31" i="13"/>
  <c r="H33" i="13"/>
  <c r="D35" i="13"/>
  <c r="H38" i="13"/>
  <c r="H90" i="13" s="1"/>
  <c r="D40" i="13"/>
  <c r="D41" i="13"/>
  <c r="D42" i="13"/>
  <c r="D44" i="13"/>
  <c r="D46" i="13"/>
  <c r="D33" i="2"/>
  <c r="B84" i="4"/>
  <c r="B241" i="6"/>
  <c r="B203" i="6"/>
  <c r="D26" i="31"/>
  <c r="E16" i="4"/>
  <c r="E232" i="6" s="1"/>
  <c r="F66" i="36"/>
  <c r="C69" i="12"/>
  <c r="J83" i="35"/>
  <c r="G54" i="13"/>
  <c r="B26" i="41"/>
  <c r="F20" i="41"/>
  <c r="G42" i="41"/>
  <c r="F15" i="41"/>
  <c r="G52" i="41"/>
  <c r="G27" i="41"/>
  <c r="G17" i="41"/>
  <c r="E41" i="2"/>
  <c r="E44" i="2"/>
  <c r="D64" i="4"/>
  <c r="H22" i="13"/>
  <c r="H23" i="37" s="1"/>
  <c r="H27" i="13"/>
  <c r="H27" i="37" s="1"/>
  <c r="H40" i="13"/>
  <c r="H42" i="13"/>
  <c r="H46" i="13"/>
  <c r="B92" i="34"/>
  <c r="L57" i="39"/>
  <c r="C109" i="40"/>
  <c r="D33" i="27"/>
  <c r="D36" i="27"/>
  <c r="D15" i="27"/>
  <c r="D10" i="27"/>
  <c r="D18" i="2"/>
  <c r="D15" i="26" s="1"/>
  <c r="D17" i="2"/>
  <c r="D13" i="26" s="1"/>
  <c r="D19" i="2"/>
  <c r="G123" i="18"/>
  <c r="G126" i="18" s="1"/>
  <c r="D29" i="31"/>
  <c r="D20" i="31"/>
  <c r="D18" i="31"/>
  <c r="B26" i="25"/>
  <c r="H32" i="27"/>
  <c r="H19" i="27"/>
  <c r="H36" i="27"/>
  <c r="H10" i="2"/>
  <c r="H23" i="2"/>
  <c r="H25" i="26" s="1"/>
  <c r="H27" i="2"/>
  <c r="H35" i="2"/>
  <c r="H44" i="2"/>
  <c r="I27" i="13"/>
  <c r="I10" i="13"/>
  <c r="I13" i="35" s="1"/>
  <c r="I41" i="13"/>
  <c r="I40" i="13"/>
  <c r="I32" i="13"/>
  <c r="I46" i="13"/>
  <c r="E17" i="2"/>
  <c r="E31" i="2"/>
  <c r="D42" i="2"/>
  <c r="E18" i="4"/>
  <c r="E37" i="4"/>
  <c r="E8" i="13"/>
  <c r="E9" i="35" s="1"/>
  <c r="E10" i="13"/>
  <c r="E13" i="35" s="1"/>
  <c r="E11" i="13"/>
  <c r="E15" i="35" s="1"/>
  <c r="H16" i="13"/>
  <c r="H11" i="37" s="1"/>
  <c r="H17" i="13"/>
  <c r="H13" i="37" s="1"/>
  <c r="H18" i="13"/>
  <c r="H15" i="37" s="1"/>
  <c r="H19" i="13"/>
  <c r="H17" i="37" s="1"/>
  <c r="D22" i="13"/>
  <c r="D23" i="37" s="1"/>
  <c r="D24" i="37" s="1"/>
  <c r="E23" i="13"/>
  <c r="E25" i="37" s="1"/>
  <c r="E65" i="37" s="1"/>
  <c r="E27" i="13"/>
  <c r="E27" i="37" s="1"/>
  <c r="E67" i="37" s="1"/>
  <c r="E29" i="13"/>
  <c r="E29" i="37" s="1"/>
  <c r="E69" i="37" s="1"/>
  <c r="H32" i="13"/>
  <c r="D34" i="13"/>
  <c r="E40" i="13"/>
  <c r="E41" i="13"/>
  <c r="E42" i="13"/>
  <c r="E44" i="13"/>
  <c r="E46" i="13"/>
  <c r="D69" i="12"/>
  <c r="C82" i="35"/>
  <c r="H115" i="40"/>
  <c r="B84" i="35"/>
  <c r="J53" i="39"/>
  <c r="H10" i="31"/>
  <c r="H21" i="31"/>
  <c r="C29" i="41"/>
  <c r="C83" i="41" s="1"/>
  <c r="C25" i="41"/>
  <c r="G18" i="41"/>
  <c r="C11" i="41"/>
  <c r="G56" i="41"/>
  <c r="F31" i="41"/>
  <c r="B27" i="41"/>
  <c r="E71" i="40"/>
  <c r="A48" i="36"/>
  <c r="D77" i="2"/>
  <c r="E85" i="17"/>
  <c r="D88" i="17"/>
  <c r="H51" i="11"/>
  <c r="H63" i="11"/>
  <c r="I64" i="11" s="1"/>
  <c r="A48" i="25"/>
  <c r="A48" i="26"/>
  <c r="G63" i="11"/>
  <c r="G88" i="17"/>
  <c r="A29" i="8"/>
  <c r="E53" i="2"/>
  <c r="I110" i="17"/>
  <c r="C54" i="11"/>
  <c r="G54" i="11"/>
  <c r="A64" i="6"/>
  <c r="A64" i="24"/>
  <c r="A48" i="8"/>
  <c r="A58" i="8"/>
  <c r="A66" i="8"/>
  <c r="A62" i="34"/>
  <c r="A49" i="26"/>
  <c r="A73" i="37"/>
  <c r="A52" i="34"/>
  <c r="A59" i="35"/>
  <c r="A73" i="25"/>
  <c r="A63" i="36"/>
  <c r="E64" i="36" s="1"/>
  <c r="A52" i="13"/>
  <c r="E53" i="13" s="1"/>
  <c r="A53" i="26"/>
  <c r="A65" i="36"/>
  <c r="A52" i="11"/>
  <c r="A63" i="26"/>
  <c r="A55" i="37"/>
  <c r="A49" i="35"/>
  <c r="G54" i="2"/>
  <c r="H53" i="2"/>
  <c r="F51" i="11"/>
  <c r="D53" i="11"/>
  <c r="D77" i="11"/>
  <c r="D78" i="11" s="1"/>
  <c r="G77" i="11"/>
  <c r="A60" i="24"/>
  <c r="A66" i="24"/>
  <c r="A52" i="24"/>
  <c r="A50" i="8"/>
  <c r="A52" i="8"/>
  <c r="A57" i="37"/>
  <c r="A73" i="26"/>
  <c r="A63" i="35"/>
  <c r="A62" i="24"/>
  <c r="A51" i="26"/>
  <c r="A71" i="36"/>
  <c r="A51" i="35"/>
  <c r="A61" i="26"/>
  <c r="A73" i="36"/>
  <c r="A51" i="25"/>
  <c r="A71" i="26"/>
  <c r="A63" i="37"/>
  <c r="G34" i="2"/>
  <c r="G18" i="2"/>
  <c r="B8" i="13"/>
  <c r="B41" i="13"/>
  <c r="B23" i="13"/>
  <c r="B25" i="37" s="1"/>
  <c r="B65" i="37" s="1"/>
  <c r="B10" i="13"/>
  <c r="B71" i="13" s="1"/>
  <c r="B40" i="13"/>
  <c r="B31" i="13"/>
  <c r="B17" i="13"/>
  <c r="B13" i="37" s="1"/>
  <c r="B36" i="13"/>
  <c r="B21" i="13"/>
  <c r="B94" i="13" s="1"/>
  <c r="B38" i="13"/>
  <c r="B90" i="13" s="1"/>
  <c r="B27" i="13"/>
  <c r="B93" i="13" s="1"/>
  <c r="B15" i="13"/>
  <c r="B9" i="37" s="1"/>
  <c r="B34" i="13"/>
  <c r="B18" i="13"/>
  <c r="B15" i="37" s="1"/>
  <c r="B55" i="37" s="1"/>
  <c r="B46" i="13"/>
  <c r="B35" i="13"/>
  <c r="B22" i="13"/>
  <c r="B23" i="37" s="1"/>
  <c r="B63" i="37" s="1"/>
  <c r="B11" i="13"/>
  <c r="B15" i="35" s="1"/>
  <c r="J31" i="13"/>
  <c r="J15" i="13"/>
  <c r="J9" i="37" s="1"/>
  <c r="N10" i="37" s="1"/>
  <c r="J41" i="13"/>
  <c r="J27" i="13"/>
  <c r="J42" i="13"/>
  <c r="J35" i="13"/>
  <c r="J33" i="13"/>
  <c r="K88" i="35"/>
  <c r="K87" i="35"/>
  <c r="K90" i="35"/>
  <c r="K89" i="35"/>
  <c r="J22" i="13"/>
  <c r="J23" i="37" s="1"/>
  <c r="B63" i="25"/>
  <c r="B24" i="25"/>
  <c r="C8" i="2"/>
  <c r="C9" i="8" s="1"/>
  <c r="C39" i="2"/>
  <c r="C91" i="2" s="1"/>
  <c r="G63" i="30"/>
  <c r="B33" i="13"/>
  <c r="B44" i="13"/>
  <c r="E80" i="35"/>
  <c r="E84" i="35"/>
  <c r="E83" i="35"/>
  <c r="F59" i="41"/>
  <c r="C125" i="40"/>
  <c r="C123" i="40"/>
  <c r="C126" i="40" s="1"/>
  <c r="K91" i="35"/>
  <c r="B42" i="13"/>
  <c r="G53" i="39"/>
  <c r="K53" i="39"/>
  <c r="G55" i="39"/>
  <c r="G59" i="39"/>
  <c r="K59" i="39"/>
  <c r="D7" i="6"/>
  <c r="E7" i="6" s="1"/>
  <c r="D3" i="6"/>
  <c r="A71" i="24"/>
  <c r="A69" i="8"/>
  <c r="B3" i="19"/>
  <c r="B3" i="2"/>
  <c r="J117" i="40"/>
  <c r="J109" i="40"/>
  <c r="H19" i="4"/>
  <c r="H63" i="4"/>
  <c r="H257" i="6" s="1"/>
  <c r="B65" i="41"/>
  <c r="B37" i="41"/>
  <c r="B84" i="41" s="1"/>
  <c r="B18" i="41"/>
  <c r="B63" i="41"/>
  <c r="B39" i="41"/>
  <c r="B30" i="41"/>
  <c r="B46" i="41"/>
  <c r="B61" i="41"/>
  <c r="B47" i="41"/>
  <c r="B56" i="41"/>
  <c r="B32" i="41"/>
  <c r="B50" i="41"/>
  <c r="B60" i="41"/>
  <c r="B9" i="41"/>
  <c r="B16" i="41"/>
  <c r="B36" i="41"/>
  <c r="B10" i="41"/>
  <c r="B17" i="41"/>
  <c r="B11" i="41"/>
  <c r="B42" i="41"/>
  <c r="B15" i="41"/>
  <c r="B20" i="41"/>
  <c r="B51" i="41"/>
  <c r="B55" i="41"/>
  <c r="F65" i="41"/>
  <c r="F41" i="41"/>
  <c r="F28" i="41"/>
  <c r="F12" i="41"/>
  <c r="F45" i="41"/>
  <c r="F26" i="41"/>
  <c r="F18" i="41"/>
  <c r="F38" i="41"/>
  <c r="F46" i="41"/>
  <c r="F56" i="41"/>
  <c r="F25" i="41"/>
  <c r="F60" i="41"/>
  <c r="F9" i="41"/>
  <c r="F36" i="41"/>
  <c r="J17" i="41"/>
  <c r="J31" i="41"/>
  <c r="J14" i="41"/>
  <c r="J59" i="41"/>
  <c r="J35" i="41"/>
  <c r="J40" i="41"/>
  <c r="J114" i="41" s="1"/>
  <c r="J55" i="41"/>
  <c r="J41" i="41"/>
  <c r="J52" i="41"/>
  <c r="J22" i="41"/>
  <c r="J28" i="41"/>
  <c r="J45" i="41"/>
  <c r="J54" i="41"/>
  <c r="J103" i="41" s="1"/>
  <c r="J30" i="41"/>
  <c r="J61" i="41"/>
  <c r="J21" i="41"/>
  <c r="J102" i="41" s="1"/>
  <c r="J62" i="41"/>
  <c r="J124" i="41"/>
  <c r="J38" i="41"/>
  <c r="J48" i="41"/>
  <c r="J16" i="41"/>
  <c r="J46" i="41"/>
  <c r="C26" i="27"/>
  <c r="C21" i="27"/>
  <c r="C10" i="27"/>
  <c r="C30" i="31"/>
  <c r="C9" i="31"/>
  <c r="J13" i="41"/>
  <c r="D24" i="11"/>
  <c r="D75" i="11" s="1"/>
  <c r="J39" i="13"/>
  <c r="J91" i="13" s="1"/>
  <c r="J19" i="13"/>
  <c r="J17" i="37" s="1"/>
  <c r="C56" i="19"/>
  <c r="C58" i="19" s="1"/>
  <c r="J38" i="13"/>
  <c r="J90" i="13" s="1"/>
  <c r="J18" i="13"/>
  <c r="J15" i="37" s="1"/>
  <c r="B16" i="13"/>
  <c r="B11" i="37" s="1"/>
  <c r="B64" i="41"/>
  <c r="J60" i="41"/>
  <c r="B12" i="41"/>
  <c r="J8" i="41"/>
  <c r="F10" i="41"/>
  <c r="H59" i="39"/>
  <c r="L59" i="39"/>
  <c r="H93" i="34"/>
  <c r="D91" i="34"/>
  <c r="J81" i="35"/>
  <c r="H35" i="31"/>
  <c r="H26" i="31"/>
  <c r="H31" i="31"/>
  <c r="C54" i="41"/>
  <c r="C103" i="41" s="1"/>
  <c r="C50" i="41"/>
  <c r="G19" i="41"/>
  <c r="G12" i="41"/>
  <c r="G22" i="41"/>
  <c r="G14" i="41"/>
  <c r="G47" i="41"/>
  <c r="G41" i="41"/>
  <c r="G10" i="41"/>
  <c r="G65" i="41"/>
  <c r="G61" i="41"/>
  <c r="G20" i="41"/>
  <c r="G16" i="41"/>
  <c r="G9" i="41"/>
  <c r="H72" i="40"/>
  <c r="H92" i="40" s="1"/>
  <c r="F72" i="40"/>
  <c r="F127" i="40" s="1"/>
  <c r="C85" i="40"/>
  <c r="H104" i="40"/>
  <c r="D51" i="11"/>
  <c r="F35" i="19"/>
  <c r="F38" i="19" s="1"/>
  <c r="H104" i="18"/>
  <c r="H63" i="19"/>
  <c r="J84" i="35"/>
  <c r="F55" i="39"/>
  <c r="J55" i="39"/>
  <c r="F59" i="39"/>
  <c r="J59" i="39"/>
  <c r="H109" i="40"/>
  <c r="H116" i="40"/>
  <c r="G124" i="41"/>
  <c r="C35" i="41"/>
  <c r="G15" i="41"/>
  <c r="G8" i="41"/>
  <c r="G59" i="41"/>
  <c r="C53" i="41"/>
  <c r="G48" i="41"/>
  <c r="C37" i="41"/>
  <c r="C84" i="41" s="1"/>
  <c r="C31" i="41"/>
  <c r="G21" i="41"/>
  <c r="G102" i="41" s="1"/>
  <c r="C55" i="41"/>
  <c r="C51" i="41"/>
  <c r="C46" i="41"/>
  <c r="D110" i="40"/>
  <c r="D104" i="40"/>
  <c r="E16" i="41"/>
  <c r="I55" i="41"/>
  <c r="H110" i="40"/>
  <c r="E66" i="40"/>
  <c r="E125" i="40" s="1"/>
  <c r="G92" i="24"/>
  <c r="G91" i="24"/>
  <c r="G90" i="24"/>
  <c r="G89" i="24"/>
  <c r="G88" i="24"/>
  <c r="A73" i="8"/>
  <c r="A75" i="8"/>
  <c r="A77" i="8"/>
  <c r="A73" i="24"/>
  <c r="A66" i="6"/>
  <c r="A69" i="24"/>
  <c r="I81" i="35"/>
  <c r="I84" i="35"/>
  <c r="I82" i="35"/>
  <c r="D116" i="40"/>
  <c r="D108" i="40"/>
  <c r="I62" i="39"/>
  <c r="K63" i="13"/>
  <c r="O64" i="13" s="1"/>
  <c r="K65" i="13"/>
  <c r="O66" i="13" s="1"/>
  <c r="D123" i="18"/>
  <c r="D126" i="18" s="1"/>
  <c r="B92" i="24"/>
  <c r="B91" i="24"/>
  <c r="B90" i="24"/>
  <c r="B89" i="24"/>
  <c r="B88" i="24"/>
  <c r="H53" i="39"/>
  <c r="L53" i="39"/>
  <c r="H55" i="39"/>
  <c r="L55" i="39"/>
  <c r="A55" i="8"/>
  <c r="A54" i="35"/>
  <c r="B83" i="35"/>
  <c r="B82" i="35"/>
  <c r="B81" i="35"/>
  <c r="F83" i="35"/>
  <c r="F82" i="35"/>
  <c r="D16" i="36"/>
  <c r="D55" i="36"/>
  <c r="D56" i="36" s="1"/>
  <c r="D123" i="40"/>
  <c r="D126" i="40" s="1"/>
  <c r="D125" i="40"/>
  <c r="B48" i="24"/>
  <c r="C49" i="24" s="1"/>
  <c r="B73" i="24"/>
  <c r="C74" i="24" s="1"/>
  <c r="F44" i="18"/>
  <c r="F115" i="18" s="1"/>
  <c r="B116" i="18"/>
  <c r="G53" i="11"/>
  <c r="E84" i="17"/>
  <c r="E92" i="24"/>
  <c r="E91" i="24"/>
  <c r="E90" i="24"/>
  <c r="E89" i="24"/>
  <c r="E88" i="24"/>
  <c r="D88" i="24"/>
  <c r="D92" i="24"/>
  <c r="D91" i="24"/>
  <c r="D90" i="24"/>
  <c r="D89" i="24"/>
  <c r="B91" i="34"/>
  <c r="B90" i="34"/>
  <c r="C3" i="6"/>
  <c r="A71" i="8"/>
  <c r="I83" i="35"/>
  <c r="A55" i="34"/>
  <c r="B3" i="24"/>
  <c r="I53" i="39"/>
  <c r="M53" i="39"/>
  <c r="I55" i="39"/>
  <c r="M55" i="39"/>
  <c r="I59" i="39"/>
  <c r="M59" i="39"/>
  <c r="F69" i="39"/>
  <c r="J69" i="39"/>
  <c r="A50" i="12"/>
  <c r="E51" i="12" s="1"/>
  <c r="A36" i="35"/>
  <c r="A33" i="8"/>
  <c r="A39" i="8"/>
  <c r="A35" i="24"/>
  <c r="A29" i="24"/>
  <c r="A39" i="24"/>
  <c r="A37" i="8"/>
  <c r="A33" i="24"/>
  <c r="K12" i="36"/>
  <c r="G51" i="36"/>
  <c r="B16" i="24"/>
  <c r="C116" i="18"/>
  <c r="E109" i="18"/>
  <c r="B104" i="18"/>
  <c r="H116" i="18"/>
  <c r="F92" i="24"/>
  <c r="F91" i="24"/>
  <c r="F90" i="24"/>
  <c r="F89" i="24"/>
  <c r="F88" i="24"/>
  <c r="C92" i="24"/>
  <c r="C91" i="24"/>
  <c r="C90" i="24"/>
  <c r="C89" i="24"/>
  <c r="C88" i="24"/>
  <c r="F93" i="34"/>
  <c r="C89" i="34"/>
  <c r="C92" i="34"/>
  <c r="C88" i="34"/>
  <c r="I93" i="34"/>
  <c r="C54" i="2"/>
  <c r="D51" i="2"/>
  <c r="F117" i="40"/>
  <c r="F109" i="40"/>
  <c r="J31" i="31"/>
  <c r="J26" i="31"/>
  <c r="J20" i="31"/>
  <c r="E52" i="41"/>
  <c r="C3" i="39"/>
  <c r="B3" i="31"/>
  <c r="B3" i="36"/>
  <c r="B3" i="30"/>
  <c r="B3" i="37"/>
  <c r="G67" i="6"/>
  <c r="G104" i="40"/>
  <c r="D88" i="34"/>
  <c r="E57" i="36"/>
  <c r="B108" i="40"/>
  <c r="F61" i="41"/>
  <c r="F51" i="41"/>
  <c r="F40" i="41"/>
  <c r="F30" i="41"/>
  <c r="F16" i="41"/>
  <c r="J9" i="41"/>
  <c r="F64" i="41"/>
  <c r="F54" i="41"/>
  <c r="F103" i="41" s="1"/>
  <c r="B45" i="41"/>
  <c r="J39" i="41"/>
  <c r="B35" i="41"/>
  <c r="J29" i="41"/>
  <c r="J83" i="41" s="1"/>
  <c r="B25" i="41"/>
  <c r="F19" i="41"/>
  <c r="F8" i="41"/>
  <c r="J63" i="41"/>
  <c r="B59" i="41"/>
  <c r="J53" i="41"/>
  <c r="F48" i="41"/>
  <c r="B38" i="41"/>
  <c r="J32" i="41"/>
  <c r="B28" i="41"/>
  <c r="F22" i="41"/>
  <c r="F14" i="41"/>
  <c r="F62" i="41"/>
  <c r="F52" i="41"/>
  <c r="B41" i="41"/>
  <c r="J37" i="41"/>
  <c r="J84" i="41" s="1"/>
  <c r="B31" i="41"/>
  <c r="J27" i="41"/>
  <c r="F21" i="41"/>
  <c r="F102" i="41" s="1"/>
  <c r="J110" i="40"/>
  <c r="B115" i="40"/>
  <c r="B54" i="41"/>
  <c r="B103" i="41" s="1"/>
  <c r="F50" i="41"/>
  <c r="F39" i="41"/>
  <c r="F29" i="41"/>
  <c r="F83" i="41" s="1"/>
  <c r="B19" i="41"/>
  <c r="J15" i="41"/>
  <c r="J12" i="41"/>
  <c r="B8" i="41"/>
  <c r="F63" i="41"/>
  <c r="F53" i="41"/>
  <c r="B48" i="41"/>
  <c r="F42" i="41"/>
  <c r="F32" i="41"/>
  <c r="B22" i="41"/>
  <c r="J18" i="41"/>
  <c r="B14" i="41"/>
  <c r="B62" i="41"/>
  <c r="J56" i="41"/>
  <c r="B52" i="41"/>
  <c r="F47" i="41"/>
  <c r="F37" i="41"/>
  <c r="F84" i="41" s="1"/>
  <c r="F27" i="41"/>
  <c r="B21" i="41"/>
  <c r="B102" i="41" s="1"/>
  <c r="F17" i="41"/>
  <c r="J10" i="41"/>
  <c r="F116" i="40"/>
  <c r="I15" i="41"/>
  <c r="D10" i="36"/>
  <c r="D49" i="36"/>
  <c r="D50" i="36" s="1"/>
  <c r="D54" i="11"/>
  <c r="A73" i="34"/>
  <c r="A77" i="24"/>
  <c r="C8" i="13"/>
  <c r="C9" i="35" s="1"/>
  <c r="C18" i="13"/>
  <c r="C15" i="37" s="1"/>
  <c r="C16" i="37" s="1"/>
  <c r="C40" i="13"/>
  <c r="C17" i="13"/>
  <c r="C13" i="37" s="1"/>
  <c r="C34" i="13"/>
  <c r="C10" i="13"/>
  <c r="C33" i="13"/>
  <c r="I65" i="41"/>
  <c r="E46" i="41"/>
  <c r="E81" i="40"/>
  <c r="E26" i="41"/>
  <c r="A50" i="34"/>
  <c r="A65" i="37"/>
  <c r="A71" i="37"/>
  <c r="A59" i="36"/>
  <c r="A55" i="26"/>
  <c r="A132" i="6" s="1"/>
  <c r="A52" i="2"/>
  <c r="A53" i="37"/>
  <c r="A49" i="36"/>
  <c r="E50" i="36" s="1"/>
  <c r="A67" i="25"/>
  <c r="A51" i="37"/>
  <c r="A67" i="26"/>
  <c r="A65" i="25"/>
  <c r="A42" i="34"/>
  <c r="A71" i="25"/>
  <c r="A45" i="35"/>
  <c r="A53" i="36"/>
  <c r="A48" i="34"/>
  <c r="A47" i="35"/>
  <c r="A61" i="36"/>
  <c r="E62" i="36" s="1"/>
  <c r="A42" i="8"/>
  <c r="E12" i="36"/>
  <c r="E51" i="36"/>
  <c r="E62" i="41"/>
  <c r="E48" i="41"/>
  <c r="E60" i="41"/>
  <c r="E36" i="41"/>
  <c r="E27" i="41"/>
  <c r="E124" i="41"/>
  <c r="E11" i="41"/>
  <c r="E40" i="41"/>
  <c r="I124" i="41"/>
  <c r="I63" i="41"/>
  <c r="I14" i="41"/>
  <c r="I22" i="41"/>
  <c r="I59" i="41"/>
  <c r="I8" i="41"/>
  <c r="I39" i="41"/>
  <c r="I17" i="41"/>
  <c r="J9" i="31"/>
  <c r="J8" i="31"/>
  <c r="J18" i="31"/>
  <c r="J28" i="31"/>
  <c r="J16" i="31"/>
  <c r="J32" i="31"/>
  <c r="J27" i="31"/>
  <c r="J61" i="31" s="1"/>
  <c r="J62" i="31" s="1"/>
  <c r="J11" i="31"/>
  <c r="J35" i="31"/>
  <c r="J19" i="31"/>
  <c r="J14" i="31"/>
  <c r="J29" i="31"/>
  <c r="J25" i="31"/>
  <c r="I10" i="41"/>
  <c r="I45" i="41"/>
  <c r="I103" i="40"/>
  <c r="I54" i="41"/>
  <c r="I103" i="41" s="1"/>
  <c r="E19" i="41"/>
  <c r="E118" i="40"/>
  <c r="E30" i="41"/>
  <c r="B3" i="41"/>
  <c r="A61" i="35"/>
  <c r="F10" i="36"/>
  <c r="B2" i="13"/>
  <c r="B2" i="34"/>
  <c r="B2" i="35"/>
  <c r="B2" i="37"/>
  <c r="B2" i="30"/>
  <c r="B3" i="34"/>
  <c r="B3" i="35" s="1"/>
  <c r="K31" i="37"/>
  <c r="G53" i="36"/>
  <c r="K54" i="36" s="1"/>
  <c r="C57" i="36"/>
  <c r="C58" i="36" s="1"/>
  <c r="E65" i="36"/>
  <c r="D54" i="2"/>
  <c r="H54" i="2"/>
  <c r="B54" i="13"/>
  <c r="C2" i="39"/>
  <c r="B2" i="40"/>
  <c r="B2" i="31"/>
  <c r="B44" i="31" s="1"/>
  <c r="J53" i="13"/>
  <c r="E70" i="40"/>
  <c r="E79" i="40" s="1"/>
  <c r="B2" i="36"/>
  <c r="B2" i="12"/>
  <c r="B63" i="30"/>
  <c r="D58" i="30"/>
  <c r="D44" i="30"/>
  <c r="I44" i="30"/>
  <c r="I49" i="30"/>
  <c r="B40" i="19"/>
  <c r="B41" i="19" s="1"/>
  <c r="B44" i="19"/>
  <c r="G56" i="19"/>
  <c r="G58" i="19" s="1"/>
  <c r="G40" i="19"/>
  <c r="F40" i="19"/>
  <c r="F41" i="19" s="1"/>
  <c r="F44" i="19"/>
  <c r="H123" i="40"/>
  <c r="H126" i="40" s="1"/>
  <c r="B104" i="40"/>
  <c r="J88" i="40"/>
  <c r="J79" i="40"/>
  <c r="F88" i="40"/>
  <c r="F79" i="40"/>
  <c r="G88" i="40"/>
  <c r="G79" i="40"/>
  <c r="H88" i="40"/>
  <c r="H79" i="40"/>
  <c r="C72" i="40"/>
  <c r="C92" i="40" s="1"/>
  <c r="B88" i="40"/>
  <c r="B79" i="40"/>
  <c r="C88" i="40"/>
  <c r="C79" i="40"/>
  <c r="B85" i="40"/>
  <c r="D88" i="40"/>
  <c r="D79" i="40"/>
  <c r="J108" i="40"/>
  <c r="J116" i="40"/>
  <c r="F108" i="40"/>
  <c r="F115" i="40"/>
  <c r="G108" i="40"/>
  <c r="G116" i="40"/>
  <c r="F85" i="40"/>
  <c r="C108" i="40"/>
  <c r="C112" i="40" s="1"/>
  <c r="C116" i="40"/>
  <c r="F104" i="40"/>
  <c r="C104" i="40"/>
  <c r="B99" i="40"/>
  <c r="B125" i="18"/>
  <c r="F123" i="18"/>
  <c r="F126" i="18" s="1"/>
  <c r="F104" i="18"/>
  <c r="I57" i="40"/>
  <c r="I111" i="40" s="1"/>
  <c r="D45" i="19"/>
  <c r="D88" i="18"/>
  <c r="D79" i="18"/>
  <c r="C45" i="19"/>
  <c r="C88" i="18"/>
  <c r="C79" i="18"/>
  <c r="G109" i="18"/>
  <c r="G117" i="18"/>
  <c r="E45" i="19"/>
  <c r="E88" i="18"/>
  <c r="E79" i="18"/>
  <c r="F45" i="19"/>
  <c r="F88" i="18"/>
  <c r="F79" i="18"/>
  <c r="I118" i="40"/>
  <c r="B45" i="19"/>
  <c r="B88" i="18"/>
  <c r="B79" i="18"/>
  <c r="G45" i="19"/>
  <c r="G88" i="18"/>
  <c r="G79" i="18"/>
  <c r="H45" i="19"/>
  <c r="H88" i="18"/>
  <c r="H79" i="18"/>
  <c r="F8" i="17"/>
  <c r="E116" i="18"/>
  <c r="G8" i="17"/>
  <c r="F116" i="18"/>
  <c r="G108" i="18"/>
  <c r="G116" i="18"/>
  <c r="D108" i="18"/>
  <c r="D116" i="18"/>
  <c r="F85" i="18"/>
  <c r="E104" i="40"/>
  <c r="E69" i="36"/>
  <c r="F14" i="36"/>
  <c r="H10" i="36"/>
  <c r="C51" i="36"/>
  <c r="C52" i="36" s="1"/>
  <c r="C49" i="30"/>
  <c r="E46" i="30"/>
  <c r="G22" i="36"/>
  <c r="K22" i="36"/>
  <c r="D46" i="30"/>
  <c r="B49" i="30"/>
  <c r="H46" i="30"/>
  <c r="F49" i="30"/>
  <c r="E49" i="30"/>
  <c r="G46" i="30"/>
  <c r="D63" i="30"/>
  <c r="H14" i="36"/>
  <c r="C63" i="36"/>
  <c r="C64" i="36" s="1"/>
  <c r="I30" i="36"/>
  <c r="C30" i="36"/>
  <c r="H24" i="12"/>
  <c r="B92" i="12"/>
  <c r="B95" i="12" s="1"/>
  <c r="C22" i="36"/>
  <c r="F46" i="30"/>
  <c r="D49" i="30"/>
  <c r="G49" i="30"/>
  <c r="I46" i="30"/>
  <c r="H63" i="30"/>
  <c r="J46" i="30"/>
  <c r="H49" i="30"/>
  <c r="D77" i="12"/>
  <c r="C49" i="36"/>
  <c r="C50" i="36" s="1"/>
  <c r="H49" i="36"/>
  <c r="L50" i="36" s="1"/>
  <c r="D51" i="36"/>
  <c r="D52" i="36" s="1"/>
  <c r="C53" i="36"/>
  <c r="C54" i="36" s="1"/>
  <c r="G57" i="36"/>
  <c r="K58" i="36" s="1"/>
  <c r="F62" i="36"/>
  <c r="J28" i="36"/>
  <c r="E14" i="12"/>
  <c r="C14" i="12"/>
  <c r="B35" i="34"/>
  <c r="O77" i="35"/>
  <c r="F14" i="12"/>
  <c r="B17" i="34"/>
  <c r="B50" i="34" s="1"/>
  <c r="B71" i="34"/>
  <c r="K56" i="34"/>
  <c r="B24" i="34"/>
  <c r="G14" i="12"/>
  <c r="G46" i="19"/>
  <c r="G49" i="19"/>
  <c r="C46" i="19"/>
  <c r="C49" i="19"/>
  <c r="E92" i="11"/>
  <c r="E95" i="11" s="1"/>
  <c r="E46" i="19"/>
  <c r="E49" i="19"/>
  <c r="D92" i="11"/>
  <c r="D95" i="11" s="1"/>
  <c r="D46" i="19"/>
  <c r="B46" i="19"/>
  <c r="B49" i="19"/>
  <c r="H92" i="11"/>
  <c r="H95" i="11" s="1"/>
  <c r="H46" i="19"/>
  <c r="F46" i="19"/>
  <c r="F49" i="19"/>
  <c r="B30" i="25"/>
  <c r="B69" i="25"/>
  <c r="C70" i="25" s="1"/>
  <c r="H174" i="17"/>
  <c r="D174" i="17"/>
  <c r="G63" i="19"/>
  <c r="B28" i="25"/>
  <c r="B67" i="25"/>
  <c r="C68" i="25" s="1"/>
  <c r="B22" i="25"/>
  <c r="B61" i="25"/>
  <c r="C62" i="25" s="1"/>
  <c r="F168" i="17"/>
  <c r="D170" i="17"/>
  <c r="F171" i="17"/>
  <c r="B18" i="25"/>
  <c r="B57" i="25"/>
  <c r="C58" i="25" s="1"/>
  <c r="G175" i="17"/>
  <c r="B76" i="25"/>
  <c r="B49" i="25"/>
  <c r="C50" i="25" s="1"/>
  <c r="E150" i="17"/>
  <c r="K147" i="17" s="1"/>
  <c r="B14" i="25"/>
  <c r="B53" i="25"/>
  <c r="E172" i="17"/>
  <c r="I175" i="17"/>
  <c r="I168" i="17"/>
  <c r="I172" i="17"/>
  <c r="E120" i="18"/>
  <c r="E87" i="18"/>
  <c r="B12" i="25"/>
  <c r="B51" i="25"/>
  <c r="C52" i="25" s="1"/>
  <c r="G170" i="17"/>
  <c r="B16" i="25"/>
  <c r="B55" i="25"/>
  <c r="C56" i="25" s="1"/>
  <c r="E114" i="40"/>
  <c r="E53" i="19"/>
  <c r="E114" i="18"/>
  <c r="E86" i="18"/>
  <c r="E119" i="18"/>
  <c r="C114" i="40"/>
  <c r="C53" i="19"/>
  <c r="C119" i="18"/>
  <c r="C114" i="18"/>
  <c r="C86" i="18"/>
  <c r="E14" i="11"/>
  <c r="C63" i="11"/>
  <c r="D53" i="19"/>
  <c r="D114" i="40"/>
  <c r="D86" i="18"/>
  <c r="D119" i="18"/>
  <c r="D114" i="18"/>
  <c r="D68" i="11"/>
  <c r="E72" i="11"/>
  <c r="F9" i="17"/>
  <c r="E63" i="11"/>
  <c r="F114" i="40"/>
  <c r="F53" i="19"/>
  <c r="F114" i="18"/>
  <c r="F119" i="18"/>
  <c r="F86" i="18"/>
  <c r="E65" i="11"/>
  <c r="B71" i="24"/>
  <c r="C72" i="24" s="1"/>
  <c r="B33" i="24"/>
  <c r="C34" i="24" s="1"/>
  <c r="H53" i="19"/>
  <c r="H114" i="40"/>
  <c r="H86" i="18"/>
  <c r="H119" i="18"/>
  <c r="H114" i="18"/>
  <c r="D9" i="17"/>
  <c r="H14" i="11"/>
  <c r="B53" i="19"/>
  <c r="B114" i="40"/>
  <c r="B62" i="6"/>
  <c r="B119" i="18"/>
  <c r="B114" i="18"/>
  <c r="B86" i="18"/>
  <c r="G114" i="40"/>
  <c r="G53" i="19"/>
  <c r="G119" i="18"/>
  <c r="G86" i="18"/>
  <c r="G114" i="18"/>
  <c r="C72" i="11"/>
  <c r="G72" i="11"/>
  <c r="F53" i="13"/>
  <c r="C54" i="13"/>
  <c r="G51" i="39"/>
  <c r="H77" i="11"/>
  <c r="I78" i="11" s="1"/>
  <c r="E54" i="2"/>
  <c r="F53" i="2"/>
  <c r="C88" i="17"/>
  <c r="F77" i="11"/>
  <c r="E53" i="11"/>
  <c r="E54" i="11"/>
  <c r="B54" i="2"/>
  <c r="G183" i="17"/>
  <c r="E77" i="11"/>
  <c r="B54" i="11"/>
  <c r="F54" i="11"/>
  <c r="H54" i="11"/>
  <c r="H51" i="2"/>
  <c r="F68" i="11"/>
  <c r="H68" i="11"/>
  <c r="G51" i="2"/>
  <c r="F54" i="2"/>
  <c r="E51" i="11"/>
  <c r="D67" i="6"/>
  <c r="H67" i="6"/>
  <c r="I17" i="37"/>
  <c r="G9" i="37"/>
  <c r="G27" i="37"/>
  <c r="J64" i="41"/>
  <c r="I85" i="17"/>
  <c r="F85" i="17"/>
  <c r="H110" i="17"/>
  <c r="G45" i="31"/>
  <c r="D45" i="31"/>
  <c r="H18" i="31"/>
  <c r="H45" i="31"/>
  <c r="K13" i="31"/>
  <c r="K48" i="31"/>
  <c r="C28" i="31"/>
  <c r="C45" i="31"/>
  <c r="C17" i="31"/>
  <c r="C19" i="31"/>
  <c r="E45" i="31"/>
  <c r="I14" i="31"/>
  <c r="I45" i="31"/>
  <c r="C24" i="31"/>
  <c r="B14" i="31"/>
  <c r="B45" i="31"/>
  <c r="F9" i="31"/>
  <c r="F45" i="31"/>
  <c r="J10" i="31"/>
  <c r="J45" i="31"/>
  <c r="E33" i="27"/>
  <c r="E26" i="27"/>
  <c r="E16" i="27"/>
  <c r="E19" i="27"/>
  <c r="E36" i="27"/>
  <c r="E18" i="27"/>
  <c r="E17" i="27"/>
  <c r="E32" i="27"/>
  <c r="E10" i="27"/>
  <c r="E15" i="27"/>
  <c r="E30" i="27"/>
  <c r="E14" i="27"/>
  <c r="F330" i="17" s="1"/>
  <c r="E29" i="27"/>
  <c r="E25" i="27"/>
  <c r="E31" i="27"/>
  <c r="E9" i="27"/>
  <c r="E27" i="27"/>
  <c r="E62" i="27" s="1"/>
  <c r="F309" i="17" s="1"/>
  <c r="C124" i="41"/>
  <c r="G60" i="41"/>
  <c r="E56" i="41"/>
  <c r="G54" i="41"/>
  <c r="G103" i="41" s="1"/>
  <c r="I52" i="41"/>
  <c r="G50" i="41"/>
  <c r="E47" i="41"/>
  <c r="G45" i="41"/>
  <c r="I41" i="41"/>
  <c r="G39" i="41"/>
  <c r="I37" i="41"/>
  <c r="I84" i="41" s="1"/>
  <c r="G35" i="41"/>
  <c r="E31" i="41"/>
  <c r="G29" i="41"/>
  <c r="G83" i="41" s="1"/>
  <c r="I27" i="41"/>
  <c r="G25" i="41"/>
  <c r="E21" i="41"/>
  <c r="E102" i="41" s="1"/>
  <c r="C19" i="41"/>
  <c r="C15" i="41"/>
  <c r="C12" i="41"/>
  <c r="C8" i="41"/>
  <c r="G63" i="41"/>
  <c r="C59" i="41"/>
  <c r="E55" i="41"/>
  <c r="G53" i="41"/>
  <c r="E51" i="41"/>
  <c r="C48" i="41"/>
  <c r="C42" i="41"/>
  <c r="C38" i="41"/>
  <c r="C118" i="41" s="1"/>
  <c r="C32" i="41"/>
  <c r="C28" i="41"/>
  <c r="C22" i="41"/>
  <c r="I64" i="41"/>
  <c r="G62" i="41"/>
  <c r="I60" i="41"/>
  <c r="C21" i="41"/>
  <c r="C102" i="41" s="1"/>
  <c r="C17" i="41"/>
  <c r="E15" i="41"/>
  <c r="I12" i="41"/>
  <c r="C10" i="41"/>
  <c r="C20" i="41"/>
  <c r="I20" i="41"/>
  <c r="I36" i="41"/>
  <c r="I47" i="41"/>
  <c r="I56" i="41"/>
  <c r="E8" i="41"/>
  <c r="E12" i="41"/>
  <c r="E22" i="41"/>
  <c r="E50" i="41"/>
  <c r="D118" i="41"/>
  <c r="I30" i="41"/>
  <c r="E25" i="41"/>
  <c r="E29" i="41"/>
  <c r="E83" i="41" s="1"/>
  <c r="E61" i="41"/>
  <c r="E65" i="41"/>
  <c r="C18" i="41"/>
  <c r="C14" i="41"/>
  <c r="G11" i="41"/>
  <c r="E9" i="41"/>
  <c r="C56" i="41"/>
  <c r="C52" i="41"/>
  <c r="C47" i="41"/>
  <c r="E45" i="41"/>
  <c r="C41" i="41"/>
  <c r="E39" i="41"/>
  <c r="G37" i="41"/>
  <c r="G84" i="41" s="1"/>
  <c r="I35" i="41"/>
  <c r="G31" i="41"/>
  <c r="C27" i="41"/>
  <c r="C65" i="41"/>
  <c r="C61" i="41"/>
  <c r="E59" i="41"/>
  <c r="G55" i="41"/>
  <c r="I53" i="41"/>
  <c r="G51" i="41"/>
  <c r="I48" i="41"/>
  <c r="G46" i="41"/>
  <c r="E42" i="41"/>
  <c r="G40" i="41"/>
  <c r="E38" i="41"/>
  <c r="G36" i="41"/>
  <c r="I32" i="41"/>
  <c r="G30" i="41"/>
  <c r="I28" i="41"/>
  <c r="G26" i="41"/>
  <c r="C16" i="41"/>
  <c r="C9" i="41"/>
  <c r="I31" i="41"/>
  <c r="I38" i="41"/>
  <c r="I58" i="30"/>
  <c r="C35" i="19"/>
  <c r="C38" i="19" s="1"/>
  <c r="F63" i="19"/>
  <c r="G35" i="19"/>
  <c r="G38" i="19" s="1"/>
  <c r="E63" i="19"/>
  <c r="F56" i="19"/>
  <c r="F58" i="19" s="1"/>
  <c r="G72" i="40"/>
  <c r="J115" i="40"/>
  <c r="G110" i="40"/>
  <c r="E123" i="18"/>
  <c r="E126" i="18" s="1"/>
  <c r="G5" i="17"/>
  <c r="I66" i="40"/>
  <c r="I123" i="40" s="1"/>
  <c r="I126" i="40" s="1"/>
  <c r="C104" i="18"/>
  <c r="E54" i="41"/>
  <c r="E103" i="41" s="1"/>
  <c r="E57" i="40"/>
  <c r="E111" i="40" s="1"/>
  <c r="I104" i="40"/>
  <c r="E35" i="41"/>
  <c r="B85" i="18"/>
  <c r="C109" i="18"/>
  <c r="C85" i="18"/>
  <c r="G85" i="18"/>
  <c r="H85" i="18"/>
  <c r="I109" i="40"/>
  <c r="I25" i="41"/>
  <c r="E44" i="18"/>
  <c r="E115" i="18" s="1"/>
  <c r="D85" i="18"/>
  <c r="D104" i="18"/>
  <c r="I13" i="41"/>
  <c r="G24" i="18"/>
  <c r="G110" i="18" s="1"/>
  <c r="I9" i="41"/>
  <c r="H30" i="36"/>
  <c r="F30" i="36"/>
  <c r="J30" i="36"/>
  <c r="G30" i="36"/>
  <c r="K30" i="36"/>
  <c r="G69" i="36"/>
  <c r="G70" i="36" s="1"/>
  <c r="I28" i="36"/>
  <c r="F67" i="36"/>
  <c r="F68" i="36" s="1"/>
  <c r="H28" i="36"/>
  <c r="C25" i="12"/>
  <c r="C26" i="12"/>
  <c r="C81" i="12" s="1"/>
  <c r="C75" i="12"/>
  <c r="C76" i="12" s="1"/>
  <c r="E24" i="12"/>
  <c r="F24" i="36"/>
  <c r="C65" i="36"/>
  <c r="C66" i="36" s="1"/>
  <c r="C19" i="36"/>
  <c r="G20" i="36" s="1"/>
  <c r="G63" i="36"/>
  <c r="K24" i="36"/>
  <c r="G65" i="36"/>
  <c r="K66" i="36" s="1"/>
  <c r="K26" i="36"/>
  <c r="F26" i="36"/>
  <c r="H26" i="36"/>
  <c r="G49" i="36"/>
  <c r="K50" i="36" s="1"/>
  <c r="K10" i="36"/>
  <c r="J10" i="36"/>
  <c r="I12" i="36"/>
  <c r="E53" i="36"/>
  <c r="C55" i="36"/>
  <c r="C56" i="36" s="1"/>
  <c r="E55" i="36"/>
  <c r="G55" i="36"/>
  <c r="D57" i="36"/>
  <c r="D58" i="36" s="1"/>
  <c r="J18" i="36"/>
  <c r="J14" i="36"/>
  <c r="I16" i="36"/>
  <c r="F18" i="36"/>
  <c r="H18" i="36"/>
  <c r="G12" i="36"/>
  <c r="G16" i="36"/>
  <c r="F50" i="36"/>
  <c r="F12" i="36"/>
  <c r="H12" i="36"/>
  <c r="J12" i="36"/>
  <c r="I14" i="36"/>
  <c r="F16" i="36"/>
  <c r="H16" i="36"/>
  <c r="J16" i="36"/>
  <c r="I18" i="36"/>
  <c r="B26" i="12"/>
  <c r="B81" i="12" s="1"/>
  <c r="G14" i="36"/>
  <c r="G18" i="36"/>
  <c r="B66" i="34"/>
  <c r="B39" i="34"/>
  <c r="B22" i="34"/>
  <c r="J14" i="12"/>
  <c r="B62" i="34"/>
  <c r="B60" i="34"/>
  <c r="B58" i="34"/>
  <c r="B55" i="34"/>
  <c r="B25" i="34"/>
  <c r="B65" i="12"/>
  <c r="B77" i="34"/>
  <c r="B73" i="34"/>
  <c r="B69" i="34"/>
  <c r="C56" i="34"/>
  <c r="B33" i="34"/>
  <c r="B63" i="12"/>
  <c r="F92" i="11"/>
  <c r="F95" i="11" s="1"/>
  <c r="G92" i="11"/>
  <c r="G95" i="11" s="1"/>
  <c r="D63" i="19"/>
  <c r="D169" i="17"/>
  <c r="F25" i="11"/>
  <c r="E26" i="11"/>
  <c r="E79" i="11"/>
  <c r="E75" i="11"/>
  <c r="B20" i="25"/>
  <c r="B31" i="25"/>
  <c r="B33" i="25" s="1"/>
  <c r="B73" i="25" s="1"/>
  <c r="S42" i="17" s="1"/>
  <c r="G75" i="11"/>
  <c r="B24" i="11"/>
  <c r="B26" i="11" s="1"/>
  <c r="H24" i="11"/>
  <c r="D79" i="11"/>
  <c r="F14" i="11"/>
  <c r="H9" i="17"/>
  <c r="F72" i="11"/>
  <c r="F63" i="11"/>
  <c r="G14" i="11"/>
  <c r="C68" i="11"/>
  <c r="I65" i="39"/>
  <c r="I66" i="39" s="1"/>
  <c r="I67" i="39" s="1"/>
  <c r="D54" i="12"/>
  <c r="H54" i="13"/>
  <c r="G53" i="13"/>
  <c r="K53" i="13"/>
  <c r="J54" i="13"/>
  <c r="F57" i="39"/>
  <c r="J57" i="39"/>
  <c r="F58" i="36"/>
  <c r="H53" i="13"/>
  <c r="F56" i="36"/>
  <c r="F54" i="13"/>
  <c r="F52" i="36"/>
  <c r="F70" i="36"/>
  <c r="I53" i="13"/>
  <c r="I51" i="13"/>
  <c r="G51" i="13"/>
  <c r="H51" i="13"/>
  <c r="D51" i="12"/>
  <c r="B54" i="12"/>
  <c r="F51" i="13"/>
  <c r="J51" i="13"/>
  <c r="D63" i="12"/>
  <c r="D64" i="12" s="1"/>
  <c r="F51" i="39"/>
  <c r="J51" i="39"/>
  <c r="K51" i="39"/>
  <c r="E70" i="11"/>
  <c r="I183" i="17"/>
  <c r="I90" i="17"/>
  <c r="E67" i="6"/>
  <c r="E110" i="17"/>
  <c r="F65" i="6"/>
  <c r="E17" i="6"/>
  <c r="F124" i="41"/>
  <c r="J65" i="41"/>
  <c r="I18" i="41"/>
  <c r="I29" i="41"/>
  <c r="I83" i="41" s="1"/>
  <c r="I40" i="41"/>
  <c r="I62" i="41"/>
  <c r="E17" i="41"/>
  <c r="E28" i="41"/>
  <c r="E64" i="41"/>
  <c r="E32" i="41"/>
  <c r="I19" i="41"/>
  <c r="I26" i="41"/>
  <c r="E18" i="41"/>
  <c r="I16" i="41"/>
  <c r="I21" i="41"/>
  <c r="I102" i="41" s="1"/>
  <c r="E37" i="41"/>
  <c r="E84" i="41" s="1"/>
  <c r="E41" i="41"/>
  <c r="E20" i="41"/>
  <c r="I42" i="41"/>
  <c r="I11" i="41"/>
  <c r="I51" i="41"/>
  <c r="E53" i="41"/>
  <c r="E63" i="41"/>
  <c r="J23" i="31"/>
  <c r="B35" i="19"/>
  <c r="B37" i="19" s="1"/>
  <c r="B38" i="19" s="1"/>
  <c r="E63" i="30"/>
  <c r="F63" i="30"/>
  <c r="D38" i="30"/>
  <c r="E58" i="30"/>
  <c r="E40" i="30"/>
  <c r="H40" i="30"/>
  <c r="B38" i="30"/>
  <c r="B40" i="30"/>
  <c r="G40" i="30"/>
  <c r="C38" i="30"/>
  <c r="C40" i="30"/>
  <c r="F58" i="30"/>
  <c r="F40" i="30"/>
  <c r="J58" i="30"/>
  <c r="J63" i="30"/>
  <c r="D40" i="30"/>
  <c r="C63" i="30"/>
  <c r="E56" i="19"/>
  <c r="E58" i="19" s="1"/>
  <c r="E35" i="19"/>
  <c r="E38" i="19" s="1"/>
  <c r="E40" i="19"/>
  <c r="H13" i="19"/>
  <c r="D8" i="27"/>
  <c r="D13" i="19"/>
  <c r="G125" i="40"/>
  <c r="J123" i="40"/>
  <c r="J126" i="40" s="1"/>
  <c r="J85" i="40"/>
  <c r="J72" i="40"/>
  <c r="F125" i="40"/>
  <c r="G85" i="40"/>
  <c r="G109" i="40"/>
  <c r="G115" i="40"/>
  <c r="H85" i="40"/>
  <c r="D85" i="40"/>
  <c r="B72" i="40"/>
  <c r="D72" i="40"/>
  <c r="B109" i="40"/>
  <c r="C115" i="40"/>
  <c r="B58" i="40"/>
  <c r="B110" i="40"/>
  <c r="C125" i="18"/>
  <c r="I61" i="41"/>
  <c r="I5" i="17"/>
  <c r="H125" i="18"/>
  <c r="H288" i="17"/>
  <c r="G104" i="18"/>
  <c r="D5" i="17"/>
  <c r="E5" i="17"/>
  <c r="D72" i="18"/>
  <c r="D75" i="18" s="1"/>
  <c r="I70" i="40"/>
  <c r="I46" i="41"/>
  <c r="H72" i="18"/>
  <c r="B44" i="18"/>
  <c r="B115" i="18" s="1"/>
  <c r="E117" i="40"/>
  <c r="B72" i="18"/>
  <c r="F5" i="17"/>
  <c r="C5" i="17"/>
  <c r="C44" i="18"/>
  <c r="C115" i="18" s="1"/>
  <c r="E72" i="18"/>
  <c r="G72" i="18"/>
  <c r="B109" i="18"/>
  <c r="G44" i="18"/>
  <c r="G115" i="18" s="1"/>
  <c r="H5" i="17"/>
  <c r="C8" i="17"/>
  <c r="E85" i="18"/>
  <c r="C72" i="18"/>
  <c r="C108" i="18"/>
  <c r="I71" i="40"/>
  <c r="I81" i="40"/>
  <c r="I83" i="40"/>
  <c r="D8" i="17"/>
  <c r="H8" i="17"/>
  <c r="D44" i="18"/>
  <c r="D115" i="18" s="1"/>
  <c r="E8" i="17"/>
  <c r="E14" i="41"/>
  <c r="D24" i="18"/>
  <c r="D34" i="18" s="1"/>
  <c r="H24" i="18"/>
  <c r="H110" i="18" s="1"/>
  <c r="H112" i="18" s="1"/>
  <c r="E10" i="41"/>
  <c r="K73" i="36"/>
  <c r="O74" i="36" s="1"/>
  <c r="D69" i="36"/>
  <c r="D70" i="36" s="1"/>
  <c r="I69" i="36"/>
  <c r="M70" i="36" s="1"/>
  <c r="G28" i="36"/>
  <c r="D67" i="36"/>
  <c r="D68" i="36" s="1"/>
  <c r="C67" i="36"/>
  <c r="C68" i="36" s="1"/>
  <c r="E67" i="36"/>
  <c r="G67" i="36"/>
  <c r="E28" i="36"/>
  <c r="F28" i="36"/>
  <c r="G61" i="36"/>
  <c r="I22" i="36"/>
  <c r="H22" i="36"/>
  <c r="D63" i="36"/>
  <c r="D64" i="36" s="1"/>
  <c r="D20" i="36"/>
  <c r="D59" i="36"/>
  <c r="D60" i="36" s="1"/>
  <c r="E31" i="36"/>
  <c r="E71" i="36" s="1"/>
  <c r="E20" i="36"/>
  <c r="E59" i="36"/>
  <c r="J24" i="36"/>
  <c r="E22" i="36"/>
  <c r="J19" i="36"/>
  <c r="J66" i="36"/>
  <c r="F63" i="36"/>
  <c r="F64" i="36" s="1"/>
  <c r="H24" i="36"/>
  <c r="H65" i="36"/>
  <c r="L66" i="36" s="1"/>
  <c r="G59" i="36"/>
  <c r="J26" i="12"/>
  <c r="H20" i="36"/>
  <c r="H31" i="36"/>
  <c r="H59" i="36"/>
  <c r="L60" i="36" s="1"/>
  <c r="E24" i="36"/>
  <c r="F31" i="36"/>
  <c r="F42" i="36" s="1"/>
  <c r="F22" i="36"/>
  <c r="J22" i="36"/>
  <c r="J26" i="36"/>
  <c r="I26" i="36"/>
  <c r="G24" i="36"/>
  <c r="G26" i="36"/>
  <c r="I24" i="36"/>
  <c r="G24" i="12"/>
  <c r="D61" i="36"/>
  <c r="D62" i="36" s="1"/>
  <c r="H61" i="36"/>
  <c r="L62" i="36" s="1"/>
  <c r="D65" i="36"/>
  <c r="D66" i="36" s="1"/>
  <c r="G10" i="36"/>
  <c r="G31" i="36"/>
  <c r="D31" i="36"/>
  <c r="D14" i="36"/>
  <c r="E10" i="36"/>
  <c r="I10" i="36"/>
  <c r="F53" i="36"/>
  <c r="F54" i="36" s="1"/>
  <c r="I14" i="12"/>
  <c r="H14" i="12"/>
  <c r="D56" i="34"/>
  <c r="D65" i="12"/>
  <c r="D66" i="12" s="1"/>
  <c r="D14" i="12"/>
  <c r="I26" i="12"/>
  <c r="I81" i="12" s="1"/>
  <c r="N56" i="34"/>
  <c r="M56" i="34"/>
  <c r="C92" i="11"/>
  <c r="B92" i="11"/>
  <c r="B95" i="11" s="1"/>
  <c r="I176" i="17"/>
  <c r="G169" i="17"/>
  <c r="D173" i="17"/>
  <c r="H173" i="17"/>
  <c r="I173" i="17"/>
  <c r="E9" i="17"/>
  <c r="D65" i="11"/>
  <c r="D14" i="11"/>
  <c r="D26" i="11"/>
  <c r="D63" i="11"/>
  <c r="B64" i="24"/>
  <c r="B75" i="24"/>
  <c r="B76" i="24" s="1"/>
  <c r="B18" i="24"/>
  <c r="B50" i="24"/>
  <c r="B19" i="24"/>
  <c r="B26" i="24" s="1"/>
  <c r="B65" i="11"/>
  <c r="C9" i="17"/>
  <c r="B46" i="24"/>
  <c r="C47" i="24" s="1"/>
  <c r="B55" i="24"/>
  <c r="C56" i="24" s="1"/>
  <c r="B60" i="24"/>
  <c r="C61" i="24" s="1"/>
  <c r="B14" i="24"/>
  <c r="B63" i="11"/>
  <c r="D72" i="11"/>
  <c r="H72" i="11"/>
  <c r="E68" i="11"/>
  <c r="K28" i="12"/>
  <c r="K98" i="12"/>
  <c r="K65" i="39"/>
  <c r="O66" i="39" s="1"/>
  <c r="S67" i="39" s="1"/>
  <c r="B75" i="12"/>
  <c r="B77" i="12"/>
  <c r="F78" i="12" s="1"/>
  <c r="J65" i="39"/>
  <c r="N66" i="39" s="1"/>
  <c r="H57" i="39"/>
  <c r="B79" i="12"/>
  <c r="I54" i="13"/>
  <c r="C79" i="12"/>
  <c r="C80" i="12" s="1"/>
  <c r="F65" i="39"/>
  <c r="F66" i="39" s="1"/>
  <c r="F67" i="39" s="1"/>
  <c r="B69" i="12"/>
  <c r="F70" i="12" s="1"/>
  <c r="C54" i="12"/>
  <c r="C77" i="12"/>
  <c r="E54" i="13"/>
  <c r="I57" i="39"/>
  <c r="H65" i="39"/>
  <c r="L66" i="39" s="1"/>
  <c r="P67" i="39" s="1"/>
  <c r="M65" i="39"/>
  <c r="Q66" i="39" s="1"/>
  <c r="U67" i="39" s="1"/>
  <c r="C65" i="12"/>
  <c r="C66" i="12" s="1"/>
  <c r="G57" i="39"/>
  <c r="D54" i="13"/>
  <c r="H51" i="39"/>
  <c r="G65" i="39"/>
  <c r="G66" i="39" s="1"/>
  <c r="G67" i="39" s="1"/>
  <c r="G69" i="39"/>
  <c r="I51" i="39"/>
  <c r="H69" i="39"/>
  <c r="I69" i="39"/>
  <c r="H85" i="17"/>
  <c r="H88" i="17"/>
  <c r="G53" i="2"/>
  <c r="F90" i="17"/>
  <c r="F183" i="17"/>
  <c r="G176" i="17"/>
  <c r="F169" i="17"/>
  <c r="I174" i="17"/>
  <c r="H90" i="17"/>
  <c r="B77" i="11"/>
  <c r="C78" i="11" s="1"/>
  <c r="F53" i="11"/>
  <c r="F65" i="11"/>
  <c r="F69" i="11"/>
  <c r="F79" i="11"/>
  <c r="G174" i="17"/>
  <c r="C69" i="11"/>
  <c r="C65" i="11"/>
  <c r="G65" i="11"/>
  <c r="H53" i="11"/>
  <c r="D53" i="2"/>
  <c r="F84" i="17"/>
  <c r="H65" i="11"/>
  <c r="I66" i="11" s="1"/>
  <c r="G65" i="6"/>
  <c r="C65" i="6"/>
  <c r="C183" i="17"/>
  <c r="C90" i="17"/>
  <c r="D90" i="17"/>
  <c r="D183" i="17"/>
  <c r="G51" i="11"/>
  <c r="I89" i="17"/>
  <c r="G89" i="17"/>
  <c r="E183" i="17"/>
  <c r="C51" i="11"/>
  <c r="F51" i="2"/>
  <c r="G68" i="11"/>
  <c r="E51" i="2"/>
  <c r="F110" i="17"/>
  <c r="G110" i="17"/>
  <c r="G77" i="25"/>
  <c r="H17" i="6"/>
  <c r="D17" i="6"/>
  <c r="H65" i="6"/>
  <c r="C58" i="11"/>
  <c r="A77" i="34"/>
  <c r="B3" i="26"/>
  <c r="A70" i="35"/>
  <c r="A50" i="11"/>
  <c r="A76" i="35"/>
  <c r="A69" i="34"/>
  <c r="A39" i="34"/>
  <c r="A34" i="35"/>
  <c r="A37" i="34"/>
  <c r="B3" i="18"/>
  <c r="A72" i="35"/>
  <c r="A32" i="35"/>
  <c r="A50" i="2"/>
  <c r="A71" i="34"/>
  <c r="B3" i="27"/>
  <c r="A29" i="34"/>
  <c r="A68" i="35"/>
  <c r="A75" i="34"/>
  <c r="E23" i="38"/>
  <c r="B3" i="11"/>
  <c r="B3" i="4"/>
  <c r="A74" i="35"/>
  <c r="A35" i="34"/>
  <c r="A50" i="13"/>
  <c r="E51" i="13" s="1"/>
  <c r="A38" i="35"/>
  <c r="M124" i="4"/>
  <c r="G30" i="31"/>
  <c r="G31" i="31"/>
  <c r="E12" i="31"/>
  <c r="D82" i="35"/>
  <c r="D84" i="35"/>
  <c r="D83" i="35"/>
  <c r="D80" i="35"/>
  <c r="D81" i="35"/>
  <c r="F46" i="13"/>
  <c r="F16" i="13"/>
  <c r="F11" i="37" s="1"/>
  <c r="F21" i="13"/>
  <c r="F94" i="13" s="1"/>
  <c r="J29" i="13"/>
  <c r="J29" i="37" s="1"/>
  <c r="N30" i="37" s="1"/>
  <c r="J32" i="13"/>
  <c r="J21" i="13"/>
  <c r="J94" i="13" s="1"/>
  <c r="J17" i="13"/>
  <c r="J13" i="37" s="1"/>
  <c r="N14" i="37" s="1"/>
  <c r="J16" i="13"/>
  <c r="J77" i="13" s="1"/>
  <c r="N78" i="13" s="1"/>
  <c r="J34" i="13"/>
  <c r="J8" i="13"/>
  <c r="J9" i="35" s="1"/>
  <c r="J46" i="13"/>
  <c r="J40" i="13"/>
  <c r="J44" i="13"/>
  <c r="J36" i="13"/>
  <c r="J11" i="13"/>
  <c r="J15" i="35" s="1"/>
  <c r="J10" i="13"/>
  <c r="J13" i="35" s="1"/>
  <c r="E15" i="13"/>
  <c r="E21" i="13"/>
  <c r="E94" i="13" s="1"/>
  <c r="E31" i="13"/>
  <c r="E32" i="13"/>
  <c r="E33" i="13"/>
  <c r="E34" i="13"/>
  <c r="E35" i="13"/>
  <c r="E36" i="13"/>
  <c r="E38" i="13"/>
  <c r="E90" i="13" s="1"/>
  <c r="E92" i="13" s="1"/>
  <c r="F11" i="31"/>
  <c r="J82" i="35"/>
  <c r="I17" i="31"/>
  <c r="I21" i="31"/>
  <c r="I9" i="31"/>
  <c r="I30" i="31"/>
  <c r="I31" i="31"/>
  <c r="E16" i="13"/>
  <c r="E22" i="13"/>
  <c r="E23" i="37" s="1"/>
  <c r="E63" i="37" s="1"/>
  <c r="F32" i="31"/>
  <c r="I18" i="31"/>
  <c r="J24" i="31"/>
  <c r="J30" i="31"/>
  <c r="H11" i="31"/>
  <c r="J17" i="31"/>
  <c r="J21" i="31"/>
  <c r="I10" i="31"/>
  <c r="H17" i="31"/>
  <c r="H14" i="31"/>
  <c r="I25" i="31"/>
  <c r="I35" i="31"/>
  <c r="I24" i="31"/>
  <c r="C18" i="31"/>
  <c r="C14" i="31"/>
  <c r="C20" i="31"/>
  <c r="C35" i="31"/>
  <c r="F8" i="13"/>
  <c r="F9" i="35" s="1"/>
  <c r="F15" i="13"/>
  <c r="F18" i="13"/>
  <c r="F15" i="37" s="1"/>
  <c r="F32" i="13"/>
  <c r="F38" i="13"/>
  <c r="F90" i="13" s="1"/>
  <c r="F40" i="13"/>
  <c r="C31" i="31"/>
  <c r="G25" i="31"/>
  <c r="G16" i="31"/>
  <c r="C10" i="31"/>
  <c r="C27" i="31"/>
  <c r="C61" i="31" s="1"/>
  <c r="C32" i="31"/>
  <c r="C16" i="31"/>
  <c r="F10" i="13"/>
  <c r="F13" i="35" s="1"/>
  <c r="F33" i="13"/>
  <c r="F44" i="13"/>
  <c r="C23" i="31"/>
  <c r="F80" i="35"/>
  <c r="H84" i="35"/>
  <c r="G11" i="31"/>
  <c r="G35" i="31"/>
  <c r="G26" i="31"/>
  <c r="G18" i="31"/>
  <c r="C8" i="31"/>
  <c r="C21" i="31"/>
  <c r="C29" i="31"/>
  <c r="C11" i="31"/>
  <c r="F11" i="13"/>
  <c r="F15" i="35" s="1"/>
  <c r="F17" i="13"/>
  <c r="F13" i="37" s="1"/>
  <c r="F23" i="13"/>
  <c r="F25" i="37" s="1"/>
  <c r="F29" i="13"/>
  <c r="F29" i="37" s="1"/>
  <c r="F69" i="37" s="1"/>
  <c r="F70" i="37" s="1"/>
  <c r="F36" i="13"/>
  <c r="C15" i="31"/>
  <c r="C26" i="31"/>
  <c r="F84" i="35"/>
  <c r="F81" i="35"/>
  <c r="G83" i="35"/>
  <c r="G82" i="35"/>
  <c r="G80" i="35"/>
  <c r="G84" i="35"/>
  <c r="G81" i="35"/>
  <c r="B29" i="31"/>
  <c r="B19" i="31"/>
  <c r="F28" i="31"/>
  <c r="F20" i="31"/>
  <c r="F18" i="31"/>
  <c r="E81" i="35"/>
  <c r="E82" i="35"/>
  <c r="E14" i="37"/>
  <c r="C26" i="37"/>
  <c r="C65" i="37"/>
  <c r="C66" i="37" s="1"/>
  <c r="C84" i="35"/>
  <c r="C81" i="35"/>
  <c r="B26" i="31"/>
  <c r="B18" i="31"/>
  <c r="B31" i="31"/>
  <c r="B24" i="31"/>
  <c r="B16" i="31"/>
  <c r="B11" i="31"/>
  <c r="B30" i="31"/>
  <c r="B23" i="31"/>
  <c r="B9" i="31"/>
  <c r="B28" i="31"/>
  <c r="B20" i="31"/>
  <c r="F8" i="31"/>
  <c r="F10" i="31"/>
  <c r="F23" i="31"/>
  <c r="F26" i="31"/>
  <c r="F25" i="31"/>
  <c r="F17" i="31"/>
  <c r="F31" i="31"/>
  <c r="F35" i="31"/>
  <c r="F14" i="31"/>
  <c r="F27" i="31"/>
  <c r="F61" i="31" s="1"/>
  <c r="F30" i="31"/>
  <c r="F29" i="31"/>
  <c r="F19" i="31"/>
  <c r="B10" i="31"/>
  <c r="B21" i="31"/>
  <c r="F15" i="31"/>
  <c r="F21" i="31"/>
  <c r="F42" i="13"/>
  <c r="F35" i="13"/>
  <c r="F31" i="13"/>
  <c r="F22" i="13"/>
  <c r="F23" i="37" s="1"/>
  <c r="F19" i="13"/>
  <c r="D73" i="39" s="1"/>
  <c r="F41" i="13"/>
  <c r="F39" i="13"/>
  <c r="F91" i="13" s="1"/>
  <c r="F34" i="13"/>
  <c r="F27" i="13"/>
  <c r="G8" i="31"/>
  <c r="G21" i="31"/>
  <c r="G17" i="31"/>
  <c r="G32" i="31"/>
  <c r="G28" i="31"/>
  <c r="G24" i="31"/>
  <c r="G9" i="31"/>
  <c r="G27" i="31"/>
  <c r="G61" i="31" s="1"/>
  <c r="G14" i="31"/>
  <c r="G19" i="31"/>
  <c r="H29" i="31"/>
  <c r="H19" i="31"/>
  <c r="H32" i="31"/>
  <c r="H24" i="31"/>
  <c r="H16" i="31"/>
  <c r="H9" i="31"/>
  <c r="H8" i="31"/>
  <c r="H25" i="31"/>
  <c r="B32" i="13"/>
  <c r="B39" i="13"/>
  <c r="B91" i="13" s="1"/>
  <c r="H80" i="35"/>
  <c r="G10" i="31"/>
  <c r="G23" i="31"/>
  <c r="G29" i="31"/>
  <c r="G15" i="31"/>
  <c r="G20" i="31"/>
  <c r="H20" i="31"/>
  <c r="H28" i="31"/>
  <c r="H15" i="31"/>
  <c r="G242" i="17"/>
  <c r="G31" i="2"/>
  <c r="G33" i="2"/>
  <c r="G41" i="2"/>
  <c r="G22" i="2"/>
  <c r="G23" i="26" s="1"/>
  <c r="G15" i="2"/>
  <c r="G9" i="26" s="1"/>
  <c r="G42" i="2"/>
  <c r="G44" i="2"/>
  <c r="G21" i="2"/>
  <c r="G23" i="2"/>
  <c r="G25" i="26" s="1"/>
  <c r="G29" i="26"/>
  <c r="G10" i="2"/>
  <c r="G13" i="8" s="1"/>
  <c r="G38" i="2"/>
  <c r="G46" i="2"/>
  <c r="G17" i="2"/>
  <c r="G16" i="2"/>
  <c r="G11" i="26" s="1"/>
  <c r="G35" i="2"/>
  <c r="G19" i="2"/>
  <c r="G36" i="2"/>
  <c r="G11" i="2"/>
  <c r="G15" i="8" s="1"/>
  <c r="C44" i="2"/>
  <c r="C41" i="2"/>
  <c r="C31" i="2"/>
  <c r="C33" i="2"/>
  <c r="C35" i="2"/>
  <c r="C27" i="2"/>
  <c r="C27" i="26" s="1"/>
  <c r="C15" i="2"/>
  <c r="C9" i="26" s="1"/>
  <c r="C40" i="2"/>
  <c r="C36" i="2"/>
  <c r="C11" i="2"/>
  <c r="C15" i="8" s="1"/>
  <c r="C38" i="2"/>
  <c r="C32" i="2"/>
  <c r="C22" i="2"/>
  <c r="C23" i="26" s="1"/>
  <c r="C17" i="2"/>
  <c r="C19" i="2"/>
  <c r="C10" i="2"/>
  <c r="C13" i="8" s="1"/>
  <c r="C29" i="26"/>
  <c r="C18" i="2"/>
  <c r="C15" i="26" s="1"/>
  <c r="C34" i="2"/>
  <c r="B36" i="27"/>
  <c r="B23" i="27"/>
  <c r="B14" i="27"/>
  <c r="B20" i="27"/>
  <c r="B9" i="27"/>
  <c r="B31" i="27"/>
  <c r="B21" i="27"/>
  <c r="B8" i="27"/>
  <c r="B32" i="27"/>
  <c r="B16" i="27"/>
  <c r="B24" i="27"/>
  <c r="B25" i="27"/>
  <c r="B30" i="27"/>
  <c r="B26" i="27"/>
  <c r="B33" i="27"/>
  <c r="B17" i="27"/>
  <c r="F15" i="27"/>
  <c r="F21" i="27"/>
  <c r="F26" i="27"/>
  <c r="F27" i="27"/>
  <c r="F30" i="27"/>
  <c r="F14" i="27"/>
  <c r="F23" i="27"/>
  <c r="F18" i="27"/>
  <c r="F33" i="27"/>
  <c r="F29" i="27"/>
  <c r="F8" i="27"/>
  <c r="F31" i="27"/>
  <c r="F9" i="27"/>
  <c r="F25" i="27"/>
  <c r="F10" i="27"/>
  <c r="F28" i="27"/>
  <c r="F24" i="27"/>
  <c r="F19" i="27"/>
  <c r="G32" i="2"/>
  <c r="B11" i="2"/>
  <c r="B44" i="2"/>
  <c r="B39" i="2"/>
  <c r="B91" i="2" s="1"/>
  <c r="B31" i="2"/>
  <c r="B34" i="2"/>
  <c r="B27" i="2"/>
  <c r="B23" i="2"/>
  <c r="B25" i="26" s="1"/>
  <c r="B17" i="2"/>
  <c r="B121" i="4" s="1"/>
  <c r="B8" i="2"/>
  <c r="B46" i="2"/>
  <c r="B41" i="2"/>
  <c r="B36" i="2"/>
  <c r="B21" i="2"/>
  <c r="B94" i="2" s="1"/>
  <c r="B15" i="2"/>
  <c r="B38" i="2"/>
  <c r="B40" i="2"/>
  <c r="B33" i="2"/>
  <c r="B22" i="2"/>
  <c r="B23" i="26" s="1"/>
  <c r="B10" i="2"/>
  <c r="B42" i="2"/>
  <c r="B16" i="2"/>
  <c r="B19" i="2"/>
  <c r="B73" i="6" s="1"/>
  <c r="F44" i="2"/>
  <c r="F39" i="2"/>
  <c r="F91" i="2" s="1"/>
  <c r="F36" i="2"/>
  <c r="F34" i="2"/>
  <c r="F32" i="2"/>
  <c r="F29" i="26"/>
  <c r="F23" i="2"/>
  <c r="F25" i="26" s="1"/>
  <c r="F22" i="2"/>
  <c r="F23" i="26" s="1"/>
  <c r="F8" i="2"/>
  <c r="F9" i="8" s="1"/>
  <c r="F42" i="2"/>
  <c r="F17" i="2"/>
  <c r="F13" i="26" s="1"/>
  <c r="F16" i="2"/>
  <c r="F11" i="26" s="1"/>
  <c r="F15" i="2"/>
  <c r="F9" i="26" s="1"/>
  <c r="F46" i="2"/>
  <c r="F40" i="2"/>
  <c r="F21" i="2"/>
  <c r="F18" i="2"/>
  <c r="F15" i="26" s="1"/>
  <c r="F33" i="2"/>
  <c r="F31" i="2"/>
  <c r="F27" i="2"/>
  <c r="F27" i="26" s="1"/>
  <c r="F11" i="2"/>
  <c r="F15" i="8" s="1"/>
  <c r="C25" i="27"/>
  <c r="C18" i="27"/>
  <c r="C19" i="27"/>
  <c r="C14" i="27"/>
  <c r="C32" i="27"/>
  <c r="C15" i="27"/>
  <c r="C33" i="27"/>
  <c r="C31" i="27"/>
  <c r="C28" i="27"/>
  <c r="C11" i="27"/>
  <c r="C27" i="27"/>
  <c r="C29" i="27"/>
  <c r="C8" i="27"/>
  <c r="C30" i="27"/>
  <c r="C9" i="27"/>
  <c r="C17" i="27"/>
  <c r="C24" i="27"/>
  <c r="C16" i="27"/>
  <c r="C23" i="27"/>
  <c r="G24" i="27"/>
  <c r="G36" i="27"/>
  <c r="G19" i="27"/>
  <c r="G23" i="27"/>
  <c r="G8" i="27"/>
  <c r="G30" i="27"/>
  <c r="G31" i="27"/>
  <c r="G15" i="27"/>
  <c r="G28" i="27"/>
  <c r="G29" i="27"/>
  <c r="G26" i="27"/>
  <c r="G14" i="27"/>
  <c r="G32" i="27"/>
  <c r="G27" i="27"/>
  <c r="G11" i="27"/>
  <c r="G20" i="27"/>
  <c r="G9" i="27"/>
  <c r="G25" i="27"/>
  <c r="G18" i="27"/>
  <c r="B19" i="27"/>
  <c r="F20" i="27"/>
  <c r="F17" i="27"/>
  <c r="I240" i="17"/>
  <c r="G10" i="27"/>
  <c r="G21" i="27"/>
  <c r="G27" i="2"/>
  <c r="G27" i="26" s="1"/>
  <c r="G40" i="2"/>
  <c r="B18" i="2"/>
  <c r="C21" i="2"/>
  <c r="B32" i="2"/>
  <c r="C46" i="2"/>
  <c r="B27" i="27"/>
  <c r="F16" i="27"/>
  <c r="G16" i="27"/>
  <c r="G8" i="2"/>
  <c r="G9" i="8" s="1"/>
  <c r="B10" i="27"/>
  <c r="C16" i="2"/>
  <c r="C11" i="26" s="1"/>
  <c r="C42" i="2"/>
  <c r="F11" i="27"/>
  <c r="E42" i="2"/>
  <c r="E38" i="2"/>
  <c r="E8" i="2"/>
  <c r="E9" i="8" s="1"/>
  <c r="E46" i="2"/>
  <c r="E35" i="2"/>
  <c r="E32" i="2"/>
  <c r="E29" i="26"/>
  <c r="E27" i="2"/>
  <c r="E27" i="26" s="1"/>
  <c r="E21" i="2"/>
  <c r="E19" i="2"/>
  <c r="E11" i="2"/>
  <c r="E15" i="8" s="1"/>
  <c r="E10" i="2"/>
  <c r="E13" i="8" s="1"/>
  <c r="H10" i="27"/>
  <c r="H17" i="27"/>
  <c r="H27" i="27"/>
  <c r="H62" i="27" s="1"/>
  <c r="H11" i="27"/>
  <c r="H29" i="27"/>
  <c r="H24" i="27"/>
  <c r="H21" i="27"/>
  <c r="H18" i="27"/>
  <c r="H9" i="27"/>
  <c r="H16" i="27"/>
  <c r="D29" i="27"/>
  <c r="D11" i="27"/>
  <c r="D9" i="27"/>
  <c r="D17" i="27"/>
  <c r="D27" i="27"/>
  <c r="D14" i="27"/>
  <c r="H33" i="27"/>
  <c r="H20" i="27"/>
  <c r="H67" i="2"/>
  <c r="I68" i="2" s="1"/>
  <c r="E23" i="2"/>
  <c r="E25" i="26" s="1"/>
  <c r="E33" i="2"/>
  <c r="E36" i="2"/>
  <c r="J51" i="41"/>
  <c r="J26" i="41"/>
  <c r="J71" i="41" s="1"/>
  <c r="J20" i="41"/>
  <c r="J50" i="41"/>
  <c r="J19" i="41"/>
  <c r="J42" i="41"/>
  <c r="J11" i="41"/>
  <c r="J47" i="41"/>
  <c r="D124" i="4"/>
  <c r="D63" i="4"/>
  <c r="D257" i="6" s="1"/>
  <c r="D59" i="4"/>
  <c r="D53" i="4"/>
  <c r="D48" i="4"/>
  <c r="D42" i="4"/>
  <c r="D40" i="4"/>
  <c r="D39" i="4"/>
  <c r="D31" i="4"/>
  <c r="D29" i="4"/>
  <c r="D83" i="4" s="1"/>
  <c r="D28" i="4"/>
  <c r="D19" i="4"/>
  <c r="D16" i="4"/>
  <c r="D232" i="6" s="1"/>
  <c r="D11" i="4"/>
  <c r="D8" i="4"/>
  <c r="D229" i="6" s="1"/>
  <c r="D65" i="4"/>
  <c r="D56" i="4"/>
  <c r="D54" i="4"/>
  <c r="D46" i="4"/>
  <c r="D38" i="4"/>
  <c r="D245" i="6" s="1"/>
  <c r="D35" i="4"/>
  <c r="D27" i="4"/>
  <c r="D17" i="4"/>
  <c r="D15" i="4"/>
  <c r="D233" i="6" s="1"/>
  <c r="D12" i="4"/>
  <c r="D61" i="4"/>
  <c r="D52" i="4"/>
  <c r="D32" i="4"/>
  <c r="D30" i="4"/>
  <c r="D240" i="6" s="1"/>
  <c r="D26" i="4"/>
  <c r="D20" i="4"/>
  <c r="D235" i="6" s="1"/>
  <c r="D18" i="4"/>
  <c r="D10" i="4"/>
  <c r="D230" i="6" s="1"/>
  <c r="D36" i="4"/>
  <c r="H12" i="4"/>
  <c r="H17" i="4"/>
  <c r="H62" i="4"/>
  <c r="H10" i="4"/>
  <c r="H230" i="6" s="1"/>
  <c r="H60" i="4"/>
  <c r="H27" i="4"/>
  <c r="H65" i="4"/>
  <c r="H26" i="4"/>
  <c r="H40" i="4"/>
  <c r="H54" i="4"/>
  <c r="H59" i="4"/>
  <c r="H53" i="4"/>
  <c r="H28" i="4"/>
  <c r="H47" i="4"/>
  <c r="H51" i="4"/>
  <c r="H29" i="4"/>
  <c r="H83" i="4" s="1"/>
  <c r="H41" i="4"/>
  <c r="H22" i="4"/>
  <c r="H15" i="4"/>
  <c r="H233" i="6" s="1"/>
  <c r="H31" i="4"/>
  <c r="H36" i="4"/>
  <c r="H8" i="4"/>
  <c r="H11" i="4"/>
  <c r="H42" i="4"/>
  <c r="H48" i="4"/>
  <c r="H37" i="4"/>
  <c r="H45" i="4"/>
  <c r="H35" i="4"/>
  <c r="H21" i="4"/>
  <c r="H102" i="4" s="1"/>
  <c r="H55" i="4"/>
  <c r="H20" i="4"/>
  <c r="H235" i="6" s="1"/>
  <c r="H61" i="4"/>
  <c r="H64" i="4"/>
  <c r="H16" i="4"/>
  <c r="H232" i="6" s="1"/>
  <c r="H124" i="4"/>
  <c r="H50" i="4"/>
  <c r="H9" i="4"/>
  <c r="H52" i="4"/>
  <c r="D14" i="4"/>
  <c r="D47" i="4"/>
  <c r="D51" i="4"/>
  <c r="E64" i="4"/>
  <c r="E60" i="4"/>
  <c r="E54" i="4"/>
  <c r="E50" i="4"/>
  <c r="E45" i="4"/>
  <c r="E32" i="4"/>
  <c r="E25" i="4"/>
  <c r="E239" i="6" s="1"/>
  <c r="E22" i="4"/>
  <c r="E20" i="4"/>
  <c r="E235" i="6" s="1"/>
  <c r="E12" i="4"/>
  <c r="E9" i="4"/>
  <c r="E63" i="4"/>
  <c r="E257" i="6" s="1"/>
  <c r="E61" i="4"/>
  <c r="E52" i="4"/>
  <c r="E42" i="4"/>
  <c r="E31" i="4"/>
  <c r="E46" i="4"/>
  <c r="E38" i="4"/>
  <c r="E245" i="6" s="1"/>
  <c r="E36" i="4"/>
  <c r="E28" i="4"/>
  <c r="E15" i="4"/>
  <c r="E233" i="6" s="1"/>
  <c r="E8" i="4"/>
  <c r="E65" i="4"/>
  <c r="E56" i="4"/>
  <c r="E51" i="4"/>
  <c r="E48" i="4"/>
  <c r="E41" i="4"/>
  <c r="E29" i="4"/>
  <c r="E83" i="4" s="1"/>
  <c r="E21" i="4"/>
  <c r="E102" i="4" s="1"/>
  <c r="E17" i="4"/>
  <c r="E14" i="4"/>
  <c r="E11" i="4"/>
  <c r="H56" i="4"/>
  <c r="H32" i="4"/>
  <c r="E27" i="4"/>
  <c r="E30" i="4"/>
  <c r="E240" i="6" s="1"/>
  <c r="E35" i="4"/>
  <c r="E39" i="4"/>
  <c r="E47" i="4"/>
  <c r="D55" i="4"/>
  <c r="D60" i="4"/>
  <c r="H14" i="4"/>
  <c r="D22" i="4"/>
  <c r="H25" i="4"/>
  <c r="H30" i="4"/>
  <c r="H240" i="6" s="1"/>
  <c r="H39" i="4"/>
  <c r="H18" i="4"/>
  <c r="D25" i="4"/>
  <c r="D37" i="4"/>
  <c r="E40" i="4"/>
  <c r="D45" i="4"/>
  <c r="E53" i="4"/>
  <c r="E55" i="4"/>
  <c r="B9" i="4"/>
  <c r="B26" i="4"/>
  <c r="B29" i="4"/>
  <c r="B83" i="4" s="1"/>
  <c r="B55" i="4"/>
  <c r="B10" i="4"/>
  <c r="B11" i="4"/>
  <c r="B234" i="6" s="1"/>
  <c r="B25" i="4"/>
  <c r="B27" i="4"/>
  <c r="B39" i="4"/>
  <c r="B60" i="4"/>
  <c r="B62" i="4"/>
  <c r="B64" i="4"/>
  <c r="B22" i="4"/>
  <c r="F65" i="4"/>
  <c r="F61" i="4"/>
  <c r="F55" i="4"/>
  <c r="F51" i="4"/>
  <c r="F46" i="4"/>
  <c r="F40" i="4"/>
  <c r="F37" i="4"/>
  <c r="F35" i="4"/>
  <c r="F29" i="4"/>
  <c r="F83" i="4" s="1"/>
  <c r="F26" i="4"/>
  <c r="F17" i="4"/>
  <c r="F14" i="4"/>
  <c r="F59" i="4"/>
  <c r="F256" i="6" s="1"/>
  <c r="F50" i="4"/>
  <c r="F47" i="4"/>
  <c r="F39" i="4"/>
  <c r="F36" i="4"/>
  <c r="F28" i="4"/>
  <c r="F20" i="4"/>
  <c r="F235" i="6" s="1"/>
  <c r="F18" i="4"/>
  <c r="F9" i="4"/>
  <c r="E76" i="24" l="1"/>
  <c r="B247" i="6"/>
  <c r="C281" i="17"/>
  <c r="H246" i="6"/>
  <c r="I50" i="36"/>
  <c r="B51" i="24"/>
  <c r="B66" i="25"/>
  <c r="D247" i="6"/>
  <c r="J82" i="41"/>
  <c r="E123" i="40"/>
  <c r="E126" i="40" s="1"/>
  <c r="F247" i="6"/>
  <c r="E85" i="40"/>
  <c r="F71" i="4"/>
  <c r="C69" i="37"/>
  <c r="C70" i="37" s="1"/>
  <c r="J50" i="36"/>
  <c r="I242" i="17"/>
  <c r="H73" i="6"/>
  <c r="I31" i="36"/>
  <c r="M32" i="36" s="1"/>
  <c r="I20" i="36"/>
  <c r="I59" i="36"/>
  <c r="M60" i="36" s="1"/>
  <c r="B70" i="24"/>
  <c r="H134" i="6"/>
  <c r="B36" i="24"/>
  <c r="G65" i="24"/>
  <c r="D69" i="2"/>
  <c r="E133" i="17"/>
  <c r="E67" i="13"/>
  <c r="H30" i="37"/>
  <c r="D67" i="2"/>
  <c r="H82" i="41"/>
  <c r="G229" i="6"/>
  <c r="G231" i="6" s="1"/>
  <c r="D12" i="31"/>
  <c r="D13" i="31" s="1"/>
  <c r="D42" i="31" s="1"/>
  <c r="G76" i="24"/>
  <c r="K47" i="36"/>
  <c r="F58" i="18"/>
  <c r="G21" i="37"/>
  <c r="K22" i="37" s="1"/>
  <c r="H247" i="6"/>
  <c r="G69" i="37"/>
  <c r="E58" i="11"/>
  <c r="J70" i="36"/>
  <c r="F68" i="18"/>
  <c r="F110" i="18"/>
  <c r="F112" i="18" s="1"/>
  <c r="G53" i="37"/>
  <c r="K54" i="37" s="1"/>
  <c r="E25" i="11"/>
  <c r="C64" i="19"/>
  <c r="T60" i="17" s="1"/>
  <c r="E56" i="31"/>
  <c r="F60" i="11"/>
  <c r="E51" i="24"/>
  <c r="D239" i="6"/>
  <c r="F92" i="2"/>
  <c r="B73" i="39"/>
  <c r="E256" i="6"/>
  <c r="D69" i="37"/>
  <c r="D70" i="37" s="1"/>
  <c r="H58" i="11"/>
  <c r="H70" i="11"/>
  <c r="J58" i="36"/>
  <c r="H92" i="2"/>
  <c r="E65" i="24"/>
  <c r="G247" i="6"/>
  <c r="S50" i="17"/>
  <c r="B97" i="11"/>
  <c r="K27" i="34"/>
  <c r="G51" i="24"/>
  <c r="B64" i="19"/>
  <c r="S60" i="17" s="1"/>
  <c r="D246" i="6"/>
  <c r="C246" i="6"/>
  <c r="C248" i="6"/>
  <c r="H242" i="6"/>
  <c r="H229" i="6"/>
  <c r="H231" i="6" s="1"/>
  <c r="G67" i="13"/>
  <c r="K68" i="13" s="1"/>
  <c r="J62" i="36"/>
  <c r="G62" i="11"/>
  <c r="E62" i="11"/>
  <c r="J28" i="35"/>
  <c r="J41" i="35"/>
  <c r="C28" i="35"/>
  <c r="C41" i="35"/>
  <c r="E28" i="35"/>
  <c r="E41" i="35"/>
  <c r="H28" i="35"/>
  <c r="H41" i="35"/>
  <c r="G28" i="35"/>
  <c r="G41" i="35"/>
  <c r="D28" i="35"/>
  <c r="D41" i="35"/>
  <c r="I28" i="35"/>
  <c r="I41" i="35"/>
  <c r="F28" i="35"/>
  <c r="F41" i="35"/>
  <c r="C252" i="6"/>
  <c r="G252" i="6"/>
  <c r="E236" i="6"/>
  <c r="E242" i="6"/>
  <c r="F246" i="6"/>
  <c r="D231" i="6"/>
  <c r="C247" i="6"/>
  <c r="F236" i="6"/>
  <c r="E246" i="6"/>
  <c r="F241" i="6"/>
  <c r="F203" i="6"/>
  <c r="F252" i="6"/>
  <c r="F258" i="6"/>
  <c r="F259" i="6" s="1"/>
  <c r="I37" i="27"/>
  <c r="I38" i="27" s="1"/>
  <c r="H239" i="6"/>
  <c r="E234" i="6"/>
  <c r="E241" i="6"/>
  <c r="E203" i="6"/>
  <c r="E252" i="6"/>
  <c r="H234" i="6"/>
  <c r="H256" i="6"/>
  <c r="D248" i="6"/>
  <c r="E71" i="8"/>
  <c r="E60" i="8"/>
  <c r="E55" i="8"/>
  <c r="E46" i="8"/>
  <c r="E14" i="8"/>
  <c r="E141" i="6"/>
  <c r="E67" i="26"/>
  <c r="G69" i="8"/>
  <c r="G42" i="8"/>
  <c r="G58" i="8"/>
  <c r="G79" i="6"/>
  <c r="G135" i="6" s="1"/>
  <c r="G10" i="8"/>
  <c r="F67" i="26"/>
  <c r="F141" i="6"/>
  <c r="F28" i="26"/>
  <c r="F94" i="2"/>
  <c r="F21" i="26"/>
  <c r="F51" i="26"/>
  <c r="F92" i="6"/>
  <c r="F104" i="6" s="1"/>
  <c r="F63" i="26"/>
  <c r="F24" i="26"/>
  <c r="C60" i="8"/>
  <c r="C55" i="8"/>
  <c r="C46" i="8"/>
  <c r="C71" i="8"/>
  <c r="G73" i="8"/>
  <c r="G48" i="8"/>
  <c r="G62" i="8"/>
  <c r="G16" i="8"/>
  <c r="G89" i="6"/>
  <c r="G12" i="26"/>
  <c r="G51" i="26"/>
  <c r="G92" i="6"/>
  <c r="G104" i="6" s="1"/>
  <c r="G60" i="8"/>
  <c r="G55" i="8"/>
  <c r="G46" i="8"/>
  <c r="G71" i="8"/>
  <c r="J68" i="35"/>
  <c r="J57" i="35"/>
  <c r="U50" i="17"/>
  <c r="D98" i="11"/>
  <c r="E79" i="12"/>
  <c r="E80" i="12" s="1"/>
  <c r="E75" i="12"/>
  <c r="H79" i="12"/>
  <c r="L80" i="12" s="1"/>
  <c r="H75" i="12"/>
  <c r="C3" i="26"/>
  <c r="C13" i="6"/>
  <c r="D69" i="17" s="1"/>
  <c r="C69" i="8"/>
  <c r="C42" i="8"/>
  <c r="C58" i="8"/>
  <c r="C79" i="6"/>
  <c r="C135" i="6" s="1"/>
  <c r="D70" i="12"/>
  <c r="H70" i="12"/>
  <c r="E247" i="6"/>
  <c r="F240" i="17"/>
  <c r="E13" i="26"/>
  <c r="F14" i="26" s="1"/>
  <c r="D73" i="6"/>
  <c r="D17" i="26"/>
  <c r="C70" i="12"/>
  <c r="G70" i="12"/>
  <c r="D71" i="13"/>
  <c r="D72" i="13" s="1"/>
  <c r="D13" i="35"/>
  <c r="W50" i="17"/>
  <c r="F98" i="11"/>
  <c r="F75" i="12"/>
  <c r="F79" i="12"/>
  <c r="F80" i="12" s="1"/>
  <c r="H57" i="35"/>
  <c r="H68" i="35"/>
  <c r="E9" i="26"/>
  <c r="F10" i="26" s="1"/>
  <c r="C256" i="6"/>
  <c r="E112" i="18"/>
  <c r="H281" i="17"/>
  <c r="G248" i="6"/>
  <c r="C241" i="6"/>
  <c r="C203" i="6"/>
  <c r="C234" i="6"/>
  <c r="I236" i="17"/>
  <c r="H15" i="26"/>
  <c r="I206" i="17"/>
  <c r="H15" i="8"/>
  <c r="H35" i="8" s="1"/>
  <c r="I36" i="8" s="1"/>
  <c r="F236" i="17"/>
  <c r="E15" i="26"/>
  <c r="G68" i="35"/>
  <c r="G57" i="35"/>
  <c r="G72" i="35"/>
  <c r="G34" i="35"/>
  <c r="G61" i="35"/>
  <c r="G47" i="35"/>
  <c r="F242" i="6"/>
  <c r="M25" i="12"/>
  <c r="I79" i="12"/>
  <c r="I75" i="12"/>
  <c r="C60" i="12"/>
  <c r="G60" i="12"/>
  <c r="J59" i="13"/>
  <c r="J11" i="35"/>
  <c r="G39" i="34"/>
  <c r="G66" i="34"/>
  <c r="G77" i="34"/>
  <c r="G52" i="34"/>
  <c r="G22" i="34"/>
  <c r="G23" i="34"/>
  <c r="G26" i="34"/>
  <c r="G24" i="34"/>
  <c r="G25" i="34"/>
  <c r="C65" i="24"/>
  <c r="H84" i="8"/>
  <c r="H81" i="8"/>
  <c r="H85" i="8"/>
  <c r="H82" i="8"/>
  <c r="H83" i="8"/>
  <c r="J66" i="34"/>
  <c r="N67" i="34" s="1"/>
  <c r="J77" i="34"/>
  <c r="N78" i="34" s="1"/>
  <c r="J52" i="34"/>
  <c r="N53" i="34" s="1"/>
  <c r="J39" i="34"/>
  <c r="N40" i="34" s="1"/>
  <c r="J22" i="34"/>
  <c r="J25" i="34"/>
  <c r="J23" i="34"/>
  <c r="J24" i="34"/>
  <c r="J26" i="34"/>
  <c r="H51" i="24"/>
  <c r="H60" i="25"/>
  <c r="I60" i="25"/>
  <c r="D65" i="24"/>
  <c r="G77" i="24"/>
  <c r="G66" i="24"/>
  <c r="G52" i="24"/>
  <c r="G39" i="24"/>
  <c r="G20" i="24"/>
  <c r="F66" i="24"/>
  <c r="F52" i="24"/>
  <c r="W38" i="17" s="1"/>
  <c r="F39" i="24"/>
  <c r="F20" i="24"/>
  <c r="F77" i="24"/>
  <c r="H64" i="12"/>
  <c r="L64" i="12"/>
  <c r="F76" i="24"/>
  <c r="C39" i="34"/>
  <c r="C40" i="34" s="1"/>
  <c r="C66" i="34"/>
  <c r="C77" i="34"/>
  <c r="C78" i="34" s="1"/>
  <c r="C52" i="34"/>
  <c r="C53" i="34" s="1"/>
  <c r="C24" i="34"/>
  <c r="C25" i="34"/>
  <c r="C22" i="34"/>
  <c r="C23" i="34"/>
  <c r="C26" i="34"/>
  <c r="I64" i="12"/>
  <c r="M64" i="12"/>
  <c r="E62" i="8"/>
  <c r="E73" i="8"/>
  <c r="E48" i="8"/>
  <c r="E89" i="6"/>
  <c r="E69" i="26"/>
  <c r="E58" i="8"/>
  <c r="E69" i="8"/>
  <c r="E42" i="8"/>
  <c r="E79" i="6"/>
  <c r="E135" i="6" s="1"/>
  <c r="F53" i="26"/>
  <c r="F124" i="6"/>
  <c r="F204" i="6" s="1"/>
  <c r="F26" i="26"/>
  <c r="F65" i="26"/>
  <c r="C73" i="6"/>
  <c r="C17" i="26"/>
  <c r="C76" i="26"/>
  <c r="C107" i="6"/>
  <c r="C110" i="6" s="1"/>
  <c r="C49" i="26"/>
  <c r="G121" i="4"/>
  <c r="G13" i="26"/>
  <c r="H14" i="26" s="1"/>
  <c r="G30" i="26"/>
  <c r="G69" i="26"/>
  <c r="F70" i="35"/>
  <c r="F54" i="35"/>
  <c r="F32" i="35"/>
  <c r="F17" i="35"/>
  <c r="F59" i="35"/>
  <c r="F45" i="35"/>
  <c r="F85" i="6"/>
  <c r="J98" i="12"/>
  <c r="J81" i="12"/>
  <c r="H44" i="19"/>
  <c r="I16" i="17"/>
  <c r="D13" i="6"/>
  <c r="E69" i="17" s="1"/>
  <c r="H236" i="17"/>
  <c r="G15" i="26"/>
  <c r="E241" i="17"/>
  <c r="D29" i="26"/>
  <c r="E30" i="26" s="1"/>
  <c r="E17" i="35"/>
  <c r="E72" i="35"/>
  <c r="E61" i="35"/>
  <c r="E47" i="35"/>
  <c r="E34" i="35"/>
  <c r="I59" i="35"/>
  <c r="I54" i="35"/>
  <c r="I70" i="35"/>
  <c r="I32" i="35"/>
  <c r="I45" i="35"/>
  <c r="I85" i="6"/>
  <c r="I238" i="17"/>
  <c r="I254" i="17" s="1"/>
  <c r="I255" i="17" s="1"/>
  <c r="I256" i="17" s="1"/>
  <c r="H27" i="26"/>
  <c r="D53" i="26"/>
  <c r="D124" i="6"/>
  <c r="D204" i="6" s="1"/>
  <c r="D57" i="35"/>
  <c r="D68" i="35"/>
  <c r="E63" i="26"/>
  <c r="E24" i="26"/>
  <c r="I57" i="35"/>
  <c r="I68" i="35"/>
  <c r="H24" i="26"/>
  <c r="H63" i="26"/>
  <c r="I24" i="26"/>
  <c r="D65" i="26"/>
  <c r="D26" i="26"/>
  <c r="I241" i="17"/>
  <c r="H29" i="26"/>
  <c r="I17" i="35"/>
  <c r="I72" i="35"/>
  <c r="I61" i="35"/>
  <c r="I47" i="35"/>
  <c r="I34" i="35"/>
  <c r="D49" i="26"/>
  <c r="D76" i="26"/>
  <c r="D107" i="6"/>
  <c r="D10" i="26"/>
  <c r="G71" i="13"/>
  <c r="K72" i="13" s="1"/>
  <c r="G13" i="35"/>
  <c r="H59" i="2"/>
  <c r="I60" i="2" s="1"/>
  <c r="H11" i="8"/>
  <c r="F59" i="2"/>
  <c r="F11" i="8"/>
  <c r="C59" i="2"/>
  <c r="C11" i="8"/>
  <c r="E204" i="17"/>
  <c r="D9" i="8"/>
  <c r="D58" i="12"/>
  <c r="H58" i="12"/>
  <c r="G59" i="13"/>
  <c r="K60" i="13" s="1"/>
  <c r="G11" i="35"/>
  <c r="H59" i="13"/>
  <c r="H11" i="35"/>
  <c r="G66" i="12"/>
  <c r="C76" i="24"/>
  <c r="J66" i="12"/>
  <c r="N66" i="12"/>
  <c r="H65" i="24"/>
  <c r="D76" i="24"/>
  <c r="F64" i="12"/>
  <c r="M86" i="8"/>
  <c r="M91" i="8" s="1"/>
  <c r="C173" i="17"/>
  <c r="C66" i="25"/>
  <c r="F38" i="24"/>
  <c r="I77" i="34"/>
  <c r="I52" i="34"/>
  <c r="M53" i="34" s="1"/>
  <c r="I39" i="34"/>
  <c r="I66" i="34"/>
  <c r="M67" i="34" s="1"/>
  <c r="I24" i="34"/>
  <c r="I25" i="34"/>
  <c r="I22" i="34"/>
  <c r="I23" i="34"/>
  <c r="I26" i="34"/>
  <c r="D20" i="24"/>
  <c r="D77" i="24"/>
  <c r="D66" i="24"/>
  <c r="D52" i="24"/>
  <c r="U38" i="17" s="1"/>
  <c r="D39" i="24"/>
  <c r="E229" i="6"/>
  <c r="H241" i="6"/>
  <c r="H203" i="6"/>
  <c r="D241" i="6"/>
  <c r="D203" i="6"/>
  <c r="D256" i="6"/>
  <c r="E73" i="6"/>
  <c r="E17" i="26"/>
  <c r="F18" i="26" s="1"/>
  <c r="C51" i="26"/>
  <c r="C92" i="6"/>
  <c r="C104" i="6" s="1"/>
  <c r="C94" i="2"/>
  <c r="C21" i="26"/>
  <c r="G28" i="26"/>
  <c r="G67" i="26"/>
  <c r="G141" i="6"/>
  <c r="F69" i="26"/>
  <c r="F30" i="26"/>
  <c r="C55" i="26"/>
  <c r="C121" i="4"/>
  <c r="C13" i="26"/>
  <c r="C73" i="8"/>
  <c r="C48" i="8"/>
  <c r="C62" i="8"/>
  <c r="C89" i="6"/>
  <c r="C67" i="26"/>
  <c r="C141" i="6"/>
  <c r="G73" i="6"/>
  <c r="G17" i="26"/>
  <c r="G65" i="26"/>
  <c r="G26" i="26"/>
  <c r="G76" i="26"/>
  <c r="G107" i="6"/>
  <c r="G10" i="26"/>
  <c r="G49" i="26"/>
  <c r="F61" i="35"/>
  <c r="F72" i="35"/>
  <c r="F34" i="35"/>
  <c r="F47" i="35"/>
  <c r="J70" i="35"/>
  <c r="J59" i="35"/>
  <c r="J32" i="35"/>
  <c r="J54" i="35"/>
  <c r="J45" i="35"/>
  <c r="J17" i="35"/>
  <c r="J85" i="6"/>
  <c r="C78" i="12"/>
  <c r="G78" i="12"/>
  <c r="C171" i="17"/>
  <c r="C54" i="25"/>
  <c r="D78" i="12"/>
  <c r="H78" i="12"/>
  <c r="C71" i="13"/>
  <c r="C72" i="13" s="1"/>
  <c r="C13" i="35"/>
  <c r="C169" i="17"/>
  <c r="C64" i="25"/>
  <c r="E59" i="35"/>
  <c r="E54" i="35"/>
  <c r="E70" i="35"/>
  <c r="E32" i="35"/>
  <c r="E45" i="35"/>
  <c r="E85" i="6"/>
  <c r="H65" i="26"/>
  <c r="H26" i="26"/>
  <c r="I26" i="26"/>
  <c r="D16" i="26"/>
  <c r="D55" i="26"/>
  <c r="F235" i="17"/>
  <c r="E11" i="26"/>
  <c r="H94" i="2"/>
  <c r="H21" i="26"/>
  <c r="D61" i="27"/>
  <c r="E310" i="17" s="1"/>
  <c r="D27" i="26"/>
  <c r="H72" i="35"/>
  <c r="H47" i="35"/>
  <c r="H34" i="35"/>
  <c r="H61" i="35"/>
  <c r="G258" i="6"/>
  <c r="G242" i="6"/>
  <c r="G236" i="6"/>
  <c r="D272" i="17"/>
  <c r="C230" i="6"/>
  <c r="C231" i="6" s="1"/>
  <c r="C258" i="6"/>
  <c r="E206" i="17"/>
  <c r="D15" i="8"/>
  <c r="D35" i="8" s="1"/>
  <c r="H49" i="26"/>
  <c r="H76" i="26"/>
  <c r="H107" i="6"/>
  <c r="H110" i="6" s="1"/>
  <c r="H10" i="26"/>
  <c r="I10" i="26"/>
  <c r="G246" i="6"/>
  <c r="G272" i="17"/>
  <c r="F230" i="6"/>
  <c r="E22" i="31"/>
  <c r="F239" i="6"/>
  <c r="C65" i="26"/>
  <c r="C26" i="26"/>
  <c r="H53" i="26"/>
  <c r="H124" i="6"/>
  <c r="H204" i="6" s="1"/>
  <c r="I14" i="26"/>
  <c r="C58" i="12"/>
  <c r="G58" i="12"/>
  <c r="D60" i="12"/>
  <c r="H60" i="12"/>
  <c r="I59" i="13"/>
  <c r="I11" i="35"/>
  <c r="F134" i="6"/>
  <c r="F57" i="26"/>
  <c r="N80" i="12"/>
  <c r="D84" i="8"/>
  <c r="D81" i="8"/>
  <c r="D85" i="8"/>
  <c r="D82" i="8"/>
  <c r="D83" i="8"/>
  <c r="H76" i="24"/>
  <c r="H38" i="25"/>
  <c r="H40" i="25"/>
  <c r="H43" i="25"/>
  <c r="H32" i="25"/>
  <c r="H42" i="25"/>
  <c r="H44" i="25"/>
  <c r="H46" i="25"/>
  <c r="H71" i="25"/>
  <c r="Y40" i="17" s="1"/>
  <c r="H45" i="25"/>
  <c r="H33" i="25"/>
  <c r="H36" i="25"/>
  <c r="H39" i="25"/>
  <c r="H37" i="25"/>
  <c r="D38" i="24"/>
  <c r="F66" i="34"/>
  <c r="F77" i="34"/>
  <c r="F52" i="34"/>
  <c r="F39" i="34"/>
  <c r="F22" i="34"/>
  <c r="F25" i="34"/>
  <c r="F26" i="34"/>
  <c r="F23" i="34"/>
  <c r="F24" i="34"/>
  <c r="M90" i="8"/>
  <c r="D60" i="25"/>
  <c r="H66" i="12"/>
  <c r="L66" i="12"/>
  <c r="F42" i="25"/>
  <c r="F43" i="25"/>
  <c r="F71" i="25"/>
  <c r="F38" i="25"/>
  <c r="F46" i="25"/>
  <c r="F44" i="25"/>
  <c r="F37" i="25"/>
  <c r="F40" i="25"/>
  <c r="F45" i="25"/>
  <c r="F33" i="25"/>
  <c r="F39" i="25"/>
  <c r="F36" i="25"/>
  <c r="F51" i="24"/>
  <c r="K64" i="12"/>
  <c r="I66" i="12"/>
  <c r="M66" i="12"/>
  <c r="G60" i="25"/>
  <c r="F248" i="6"/>
  <c r="H236" i="6"/>
  <c r="E248" i="6"/>
  <c r="E258" i="6"/>
  <c r="E259" i="6" s="1"/>
  <c r="D236" i="6"/>
  <c r="H252" i="6"/>
  <c r="H258" i="6"/>
  <c r="H248" i="6"/>
  <c r="I65" i="27"/>
  <c r="D258" i="6"/>
  <c r="D242" i="6"/>
  <c r="D234" i="6"/>
  <c r="E26" i="26"/>
  <c r="E65" i="26"/>
  <c r="E21" i="26"/>
  <c r="E94" i="2"/>
  <c r="F16" i="8"/>
  <c r="F73" i="8"/>
  <c r="F48" i="8"/>
  <c r="F62" i="8"/>
  <c r="F89" i="6"/>
  <c r="F55" i="26"/>
  <c r="F16" i="26"/>
  <c r="F107" i="6"/>
  <c r="F76" i="26"/>
  <c r="F49" i="26"/>
  <c r="F10" i="8"/>
  <c r="F69" i="8"/>
  <c r="F70" i="8" s="1"/>
  <c r="F42" i="8"/>
  <c r="F58" i="8"/>
  <c r="F79" i="6"/>
  <c r="F135" i="6" s="1"/>
  <c r="C69" i="26"/>
  <c r="C24" i="26"/>
  <c r="C63" i="26"/>
  <c r="G94" i="2"/>
  <c r="G21" i="26"/>
  <c r="G24" i="26"/>
  <c r="G63" i="26"/>
  <c r="G64" i="26" s="1"/>
  <c r="F57" i="35"/>
  <c r="F68" i="35"/>
  <c r="J61" i="35"/>
  <c r="J72" i="35"/>
  <c r="J34" i="35"/>
  <c r="J47" i="35"/>
  <c r="G79" i="12"/>
  <c r="G75" i="12"/>
  <c r="D44" i="19"/>
  <c r="E16" i="17"/>
  <c r="E98" i="11"/>
  <c r="C68" i="35"/>
  <c r="C57" i="35"/>
  <c r="C3" i="34"/>
  <c r="C3" i="35" s="1"/>
  <c r="C13" i="39"/>
  <c r="E57" i="35"/>
  <c r="E68" i="35"/>
  <c r="H13" i="8"/>
  <c r="H33" i="8" s="1"/>
  <c r="I34" i="8" s="1"/>
  <c r="D72" i="35"/>
  <c r="D47" i="35"/>
  <c r="D61" i="35"/>
  <c r="D34" i="35"/>
  <c r="D252" i="6"/>
  <c r="D14" i="8"/>
  <c r="D71" i="8"/>
  <c r="D60" i="8"/>
  <c r="D55" i="8"/>
  <c r="D46" i="8"/>
  <c r="D94" i="2"/>
  <c r="D21" i="26"/>
  <c r="H71" i="13"/>
  <c r="L72" i="13" s="1"/>
  <c r="H13" i="35"/>
  <c r="D37" i="27"/>
  <c r="C239" i="6"/>
  <c r="G256" i="6"/>
  <c r="G259" i="6" s="1"/>
  <c r="C236" i="6"/>
  <c r="G241" i="6"/>
  <c r="G203" i="6"/>
  <c r="D63" i="26"/>
  <c r="D24" i="26"/>
  <c r="C242" i="6"/>
  <c r="G234" i="6"/>
  <c r="H51" i="26"/>
  <c r="H92" i="6"/>
  <c r="H104" i="6" s="1"/>
  <c r="H12" i="26"/>
  <c r="I12" i="26"/>
  <c r="H10" i="8"/>
  <c r="H58" i="8"/>
  <c r="H69" i="8"/>
  <c r="H42" i="8"/>
  <c r="H79" i="6"/>
  <c r="H135" i="6" s="1"/>
  <c r="I10" i="8"/>
  <c r="H37" i="27"/>
  <c r="G239" i="6"/>
  <c r="F13" i="8"/>
  <c r="G14" i="8" s="1"/>
  <c r="C17" i="35"/>
  <c r="C72" i="35"/>
  <c r="C61" i="35"/>
  <c r="C34" i="35"/>
  <c r="C47" i="35"/>
  <c r="F272" i="17"/>
  <c r="E230" i="6"/>
  <c r="F229" i="6"/>
  <c r="D59" i="2"/>
  <c r="D11" i="8"/>
  <c r="E59" i="2"/>
  <c r="E11" i="8"/>
  <c r="B59" i="2"/>
  <c r="B11" i="8"/>
  <c r="G59" i="2"/>
  <c r="G11" i="8"/>
  <c r="C62" i="12"/>
  <c r="G62" i="12"/>
  <c r="D62" i="12"/>
  <c r="H62" i="12"/>
  <c r="C33" i="25"/>
  <c r="C37" i="25"/>
  <c r="C44" i="25"/>
  <c r="C38" i="25"/>
  <c r="C36" i="25"/>
  <c r="C39" i="25"/>
  <c r="C42" i="25"/>
  <c r="C45" i="25"/>
  <c r="C32" i="25"/>
  <c r="C40" i="25"/>
  <c r="C43" i="25"/>
  <c r="C46" i="25"/>
  <c r="C71" i="25"/>
  <c r="T40" i="17" s="1"/>
  <c r="C77" i="24"/>
  <c r="C20" i="24"/>
  <c r="C66" i="24"/>
  <c r="C52" i="24"/>
  <c r="C39" i="24"/>
  <c r="C51" i="24"/>
  <c r="J82" i="12"/>
  <c r="J76" i="12"/>
  <c r="N76" i="12"/>
  <c r="K66" i="12"/>
  <c r="E235" i="17"/>
  <c r="D11" i="26"/>
  <c r="J64" i="12"/>
  <c r="N64" i="12"/>
  <c r="H38" i="24"/>
  <c r="E59" i="25"/>
  <c r="E60" i="25" s="1"/>
  <c r="E31" i="25"/>
  <c r="F32" i="25" s="1"/>
  <c r="E20" i="25"/>
  <c r="D51" i="24"/>
  <c r="F66" i="12"/>
  <c r="H20" i="24"/>
  <c r="H77" i="24"/>
  <c r="H66" i="24"/>
  <c r="H52" i="24"/>
  <c r="H39" i="24"/>
  <c r="Y36" i="17" s="1"/>
  <c r="H23" i="24"/>
  <c r="H22" i="24"/>
  <c r="H25" i="24"/>
  <c r="H24" i="24"/>
  <c r="D40" i="25"/>
  <c r="D71" i="25"/>
  <c r="D44" i="25"/>
  <c r="D36" i="25"/>
  <c r="D46" i="25"/>
  <c r="D39" i="25"/>
  <c r="D33" i="25"/>
  <c r="D45" i="25"/>
  <c r="D37" i="25"/>
  <c r="D38" i="25"/>
  <c r="D43" i="25"/>
  <c r="D32" i="25"/>
  <c r="D42" i="25"/>
  <c r="H39" i="34"/>
  <c r="H66" i="34"/>
  <c r="H77" i="34"/>
  <c r="L78" i="34" s="1"/>
  <c r="H52" i="34"/>
  <c r="H23" i="34"/>
  <c r="H24" i="34"/>
  <c r="H22" i="34"/>
  <c r="H25" i="34"/>
  <c r="H26" i="34"/>
  <c r="F65" i="24"/>
  <c r="E77" i="24"/>
  <c r="E78" i="24" s="1"/>
  <c r="E66" i="24"/>
  <c r="E67" i="24" s="1"/>
  <c r="E52" i="24"/>
  <c r="E39" i="24"/>
  <c r="E40" i="24" s="1"/>
  <c r="E20" i="24"/>
  <c r="G39" i="25"/>
  <c r="G42" i="25"/>
  <c r="G45" i="25"/>
  <c r="G36" i="25"/>
  <c r="G43" i="25"/>
  <c r="G46" i="25"/>
  <c r="G33" i="25"/>
  <c r="G37" i="25"/>
  <c r="G40" i="25"/>
  <c r="G71" i="25"/>
  <c r="G38" i="25"/>
  <c r="G44" i="25"/>
  <c r="G32" i="25"/>
  <c r="I58" i="26"/>
  <c r="D62" i="11"/>
  <c r="H168" i="17"/>
  <c r="G23" i="38"/>
  <c r="D3" i="26"/>
  <c r="F62" i="11"/>
  <c r="C62" i="11"/>
  <c r="H171" i="17"/>
  <c r="H60" i="11"/>
  <c r="I60" i="11"/>
  <c r="G60" i="11"/>
  <c r="C60" i="11"/>
  <c r="H62" i="11"/>
  <c r="I62" i="11"/>
  <c r="E60" i="11"/>
  <c r="D60" i="11"/>
  <c r="W36" i="17"/>
  <c r="F23" i="24"/>
  <c r="G23" i="24"/>
  <c r="C22" i="24"/>
  <c r="C23" i="24"/>
  <c r="B39" i="24"/>
  <c r="S36" i="17" s="1"/>
  <c r="B23" i="24"/>
  <c r="D25" i="24"/>
  <c r="D23" i="24"/>
  <c r="E23" i="24"/>
  <c r="B24" i="24"/>
  <c r="B25" i="24"/>
  <c r="B22" i="24"/>
  <c r="B63" i="24"/>
  <c r="C57" i="13"/>
  <c r="C58" i="13" s="1"/>
  <c r="C61" i="13"/>
  <c r="C62" i="13" s="1"/>
  <c r="B61" i="13"/>
  <c r="B57" i="13"/>
  <c r="J61" i="13"/>
  <c r="J57" i="13"/>
  <c r="E61" i="13"/>
  <c r="E62" i="13" s="1"/>
  <c r="E57" i="13"/>
  <c r="E58" i="13" s="1"/>
  <c r="D57" i="13"/>
  <c r="D58" i="13" s="1"/>
  <c r="D61" i="13"/>
  <c r="D62" i="13" s="1"/>
  <c r="I61" i="13"/>
  <c r="I57" i="13"/>
  <c r="F61" i="13"/>
  <c r="F57" i="13"/>
  <c r="H67" i="13"/>
  <c r="L68" i="13" s="1"/>
  <c r="H57" i="13"/>
  <c r="H61" i="13"/>
  <c r="G57" i="13"/>
  <c r="G61" i="13"/>
  <c r="I60" i="13"/>
  <c r="M60" i="13"/>
  <c r="H60" i="13"/>
  <c r="L60" i="13"/>
  <c r="J60" i="13"/>
  <c r="N60" i="13"/>
  <c r="B57" i="2"/>
  <c r="B61" i="2"/>
  <c r="H61" i="2"/>
  <c r="H57" i="2"/>
  <c r="D61" i="2"/>
  <c r="E57" i="2"/>
  <c r="E58" i="2" s="1"/>
  <c r="E61" i="2"/>
  <c r="G61" i="2"/>
  <c r="G57" i="2"/>
  <c r="F57" i="2"/>
  <c r="F61" i="2"/>
  <c r="F62" i="2" s="1"/>
  <c r="C61" i="2"/>
  <c r="C57" i="2"/>
  <c r="C67" i="2"/>
  <c r="D68" i="2" s="1"/>
  <c r="I77" i="39"/>
  <c r="C57" i="37"/>
  <c r="C58" i="37" s="1"/>
  <c r="E69" i="13"/>
  <c r="E70" i="13" s="1"/>
  <c r="C93" i="13"/>
  <c r="G92" i="13"/>
  <c r="B77" i="13"/>
  <c r="I69" i="13"/>
  <c r="M70" i="13" s="1"/>
  <c r="E26" i="37"/>
  <c r="C10" i="37"/>
  <c r="C12" i="13"/>
  <c r="G16" i="37"/>
  <c r="J52" i="36"/>
  <c r="C55" i="37"/>
  <c r="C56" i="37" s="1"/>
  <c r="J56" i="36"/>
  <c r="B103" i="4"/>
  <c r="B104" i="4" s="1"/>
  <c r="D21" i="37"/>
  <c r="D22" i="37" s="1"/>
  <c r="H12" i="13"/>
  <c r="G12" i="13"/>
  <c r="H54" i="36"/>
  <c r="J59" i="36"/>
  <c r="J60" i="36" s="1"/>
  <c r="N20" i="36"/>
  <c r="E26" i="12"/>
  <c r="E81" i="12" s="1"/>
  <c r="E34" i="18"/>
  <c r="C34" i="18"/>
  <c r="C99" i="40"/>
  <c r="F81" i="11"/>
  <c r="W51" i="17" s="1"/>
  <c r="F87" i="18"/>
  <c r="E93" i="34"/>
  <c r="H81" i="41"/>
  <c r="D104" i="41"/>
  <c r="D97" i="18"/>
  <c r="U58" i="17"/>
  <c r="G12" i="17"/>
  <c r="I68" i="36"/>
  <c r="D99" i="18"/>
  <c r="U55" i="17"/>
  <c r="E25" i="24"/>
  <c r="F28" i="11"/>
  <c r="H26" i="11"/>
  <c r="I25" i="11"/>
  <c r="G25" i="11"/>
  <c r="F120" i="18"/>
  <c r="D12" i="17"/>
  <c r="T50" i="17"/>
  <c r="C11" i="37"/>
  <c r="C12" i="37" s="1"/>
  <c r="I64" i="36"/>
  <c r="E28" i="11"/>
  <c r="E99" i="11" s="1"/>
  <c r="V50" i="17"/>
  <c r="H26" i="12"/>
  <c r="L25" i="12"/>
  <c r="F99" i="18"/>
  <c r="W55" i="17"/>
  <c r="H70" i="41"/>
  <c r="H88" i="41" s="1"/>
  <c r="D3" i="39"/>
  <c r="D13" i="39" s="1"/>
  <c r="B119" i="40"/>
  <c r="J57" i="37"/>
  <c r="N58" i="37" s="1"/>
  <c r="N18" i="37"/>
  <c r="J63" i="37"/>
  <c r="N64" i="37" s="1"/>
  <c r="N24" i="37"/>
  <c r="G60" i="31"/>
  <c r="G62" i="31" s="1"/>
  <c r="K75" i="13"/>
  <c r="O25" i="13"/>
  <c r="K38" i="37"/>
  <c r="O32" i="37"/>
  <c r="J93" i="13"/>
  <c r="J55" i="37"/>
  <c r="N56" i="37" s="1"/>
  <c r="N16" i="37"/>
  <c r="B29" i="26"/>
  <c r="C30" i="26" s="1"/>
  <c r="D93" i="2"/>
  <c r="B87" i="40"/>
  <c r="G81" i="39"/>
  <c r="N81" i="39"/>
  <c r="I80" i="39"/>
  <c r="N80" i="39"/>
  <c r="R67" i="39"/>
  <c r="J49" i="37"/>
  <c r="N50" i="37" s="1"/>
  <c r="L14" i="37"/>
  <c r="H81" i="39"/>
  <c r="D43" i="41"/>
  <c r="D109" i="41" s="1"/>
  <c r="B45" i="30"/>
  <c r="M14" i="37"/>
  <c r="I81" i="39"/>
  <c r="L10" i="37"/>
  <c r="H80" i="39"/>
  <c r="G18" i="37"/>
  <c r="B59" i="24"/>
  <c r="F81" i="39"/>
  <c r="G49" i="37"/>
  <c r="G50" i="37" s="1"/>
  <c r="G80" i="39"/>
  <c r="H91" i="40"/>
  <c r="D56" i="31"/>
  <c r="H57" i="27"/>
  <c r="I306" i="17" s="1"/>
  <c r="H43" i="27"/>
  <c r="C4" i="17"/>
  <c r="H66" i="41"/>
  <c r="H123" i="41" s="1"/>
  <c r="H126" i="41" s="1"/>
  <c r="H104" i="41"/>
  <c r="F49" i="41"/>
  <c r="H43" i="41"/>
  <c r="H109" i="41" s="1"/>
  <c r="H127" i="40"/>
  <c r="F104" i="4"/>
  <c r="G288" i="17"/>
  <c r="B49" i="4"/>
  <c r="C287" i="17" s="1"/>
  <c r="B112" i="18"/>
  <c r="F91" i="18"/>
  <c r="G82" i="4"/>
  <c r="F48" i="19"/>
  <c r="F105" i="18"/>
  <c r="G118" i="4"/>
  <c r="F127" i="18"/>
  <c r="G81" i="4"/>
  <c r="F75" i="18"/>
  <c r="B34" i="18"/>
  <c r="S55" i="17" s="1"/>
  <c r="F13" i="4"/>
  <c r="J92" i="13"/>
  <c r="C92" i="13"/>
  <c r="H92" i="13"/>
  <c r="H69" i="37"/>
  <c r="L70" i="37" s="1"/>
  <c r="I93" i="13"/>
  <c r="I27" i="37"/>
  <c r="M28" i="37" s="1"/>
  <c r="K79" i="13"/>
  <c r="O80" i="13" s="1"/>
  <c r="K26" i="13"/>
  <c r="K81" i="13" s="1"/>
  <c r="F26" i="37"/>
  <c r="G55" i="37"/>
  <c r="K56" i="37" s="1"/>
  <c r="D18" i="37"/>
  <c r="J16" i="37"/>
  <c r="E238" i="17"/>
  <c r="D73" i="4"/>
  <c r="E262" i="17" s="1"/>
  <c r="G120" i="18"/>
  <c r="G87" i="18"/>
  <c r="G26" i="11"/>
  <c r="B120" i="40"/>
  <c r="E24" i="24"/>
  <c r="C26" i="24"/>
  <c r="G205" i="17"/>
  <c r="E26" i="24"/>
  <c r="I204" i="17"/>
  <c r="I133" i="17"/>
  <c r="E22" i="24"/>
  <c r="E56" i="36"/>
  <c r="B69" i="13"/>
  <c r="B67" i="13"/>
  <c r="H55" i="37"/>
  <c r="L56" i="37" s="1"/>
  <c r="L16" i="37"/>
  <c r="D33" i="8"/>
  <c r="I63" i="37"/>
  <c r="M64" i="37" s="1"/>
  <c r="M24" i="37"/>
  <c r="K12" i="37"/>
  <c r="G51" i="37"/>
  <c r="K52" i="37" s="1"/>
  <c r="E33" i="31"/>
  <c r="D12" i="2"/>
  <c r="D17" i="8" s="1"/>
  <c r="D37" i="8" s="1"/>
  <c r="K40" i="34"/>
  <c r="G77" i="13"/>
  <c r="K78" i="13" s="1"/>
  <c r="I21" i="37"/>
  <c r="I94" i="13"/>
  <c r="E55" i="37"/>
  <c r="E56" i="37" s="1"/>
  <c r="E16" i="37"/>
  <c r="B83" i="8"/>
  <c r="B85" i="8"/>
  <c r="B81" i="8"/>
  <c r="G69" i="13"/>
  <c r="K70" i="13" s="1"/>
  <c r="G13" i="13"/>
  <c r="D49" i="41"/>
  <c r="B23" i="4"/>
  <c r="C273" i="17" s="1"/>
  <c r="B229" i="6"/>
  <c r="E90" i="2"/>
  <c r="E46" i="27" s="1"/>
  <c r="F226" i="6"/>
  <c r="B82" i="8"/>
  <c r="F118" i="4"/>
  <c r="E73" i="39"/>
  <c r="I57" i="37"/>
  <c r="M58" i="37" s="1"/>
  <c r="M18" i="37"/>
  <c r="C13" i="13"/>
  <c r="C19" i="35" s="1"/>
  <c r="O66" i="35"/>
  <c r="M62" i="36"/>
  <c r="I62" i="36"/>
  <c r="C90" i="2"/>
  <c r="C92" i="2" s="1"/>
  <c r="D226" i="6"/>
  <c r="C60" i="31"/>
  <c r="C62" i="31" s="1"/>
  <c r="E93" i="13"/>
  <c r="E95" i="13" s="1"/>
  <c r="H67" i="37"/>
  <c r="L68" i="37" s="1"/>
  <c r="L28" i="37"/>
  <c r="I51" i="37"/>
  <c r="M52" i="37" s="1"/>
  <c r="M12" i="37"/>
  <c r="I69" i="37"/>
  <c r="M70" i="37" s="1"/>
  <c r="M30" i="37"/>
  <c r="C30" i="37"/>
  <c r="H56" i="34"/>
  <c r="L56" i="34"/>
  <c r="K42" i="31"/>
  <c r="K34" i="31"/>
  <c r="K42" i="37"/>
  <c r="K41" i="37"/>
  <c r="K45" i="37"/>
  <c r="H63" i="37"/>
  <c r="L64" i="37" s="1"/>
  <c r="L24" i="37"/>
  <c r="D90" i="2"/>
  <c r="D92" i="2" s="1"/>
  <c r="E226" i="6"/>
  <c r="C73" i="39"/>
  <c r="E17" i="37"/>
  <c r="E57" i="37" s="1"/>
  <c r="H49" i="41"/>
  <c r="D23" i="41"/>
  <c r="D70" i="41"/>
  <c r="D88" i="41" s="1"/>
  <c r="D81" i="41"/>
  <c r="D71" i="41"/>
  <c r="B57" i="4"/>
  <c r="B111" i="4" s="1"/>
  <c r="D82" i="41"/>
  <c r="B84" i="8"/>
  <c r="G28" i="37"/>
  <c r="K40" i="37"/>
  <c r="C81" i="41"/>
  <c r="C71" i="41"/>
  <c r="H57" i="37"/>
  <c r="L58" i="37" s="1"/>
  <c r="L18" i="37"/>
  <c r="N205" i="17"/>
  <c r="B245" i="6"/>
  <c r="B118" i="4"/>
  <c r="D14" i="37"/>
  <c r="H14" i="37"/>
  <c r="D53" i="37"/>
  <c r="D54" i="37" s="1"/>
  <c r="I56" i="36"/>
  <c r="H65" i="37"/>
  <c r="L66" i="37" s="1"/>
  <c r="L26" i="37"/>
  <c r="B73" i="40"/>
  <c r="B75" i="40" s="1"/>
  <c r="B90" i="2"/>
  <c r="B92" i="2" s="1"/>
  <c r="C226" i="6"/>
  <c r="G90" i="2"/>
  <c r="G92" i="2" s="1"/>
  <c r="H226" i="6"/>
  <c r="B56" i="31"/>
  <c r="I52" i="36"/>
  <c r="C82" i="41"/>
  <c r="H51" i="37"/>
  <c r="L52" i="37" s="1"/>
  <c r="L12" i="37"/>
  <c r="I13" i="13"/>
  <c r="I19" i="35" s="1"/>
  <c r="I65" i="37"/>
  <c r="M66" i="37" s="1"/>
  <c r="M26" i="37"/>
  <c r="I16" i="37"/>
  <c r="M16" i="37"/>
  <c r="H118" i="41"/>
  <c r="D66" i="41"/>
  <c r="D125" i="41" s="1"/>
  <c r="H42" i="36"/>
  <c r="L32" i="36"/>
  <c r="E52" i="36"/>
  <c r="I66" i="36"/>
  <c r="E70" i="36"/>
  <c r="B43" i="24"/>
  <c r="B50" i="25"/>
  <c r="E68" i="37"/>
  <c r="C57" i="4"/>
  <c r="D289" i="17" s="1"/>
  <c r="G57" i="4"/>
  <c r="C49" i="4"/>
  <c r="C82" i="4"/>
  <c r="D33" i="41"/>
  <c r="D108" i="41" s="1"/>
  <c r="H57" i="41"/>
  <c r="H111" i="41" s="1"/>
  <c r="D57" i="41"/>
  <c r="D111" i="41" s="1"/>
  <c r="D13" i="41"/>
  <c r="H23" i="41"/>
  <c r="H13" i="41"/>
  <c r="I125" i="40"/>
  <c r="C120" i="18"/>
  <c r="K36" i="37"/>
  <c r="E58" i="36"/>
  <c r="F75" i="11"/>
  <c r="F82" i="11" s="1"/>
  <c r="H69" i="2"/>
  <c r="I70" i="2" s="1"/>
  <c r="B62" i="31"/>
  <c r="K39" i="37"/>
  <c r="B49" i="24"/>
  <c r="J104" i="41"/>
  <c r="F71" i="41"/>
  <c r="F71" i="2"/>
  <c r="C20" i="13"/>
  <c r="C19" i="37" s="1"/>
  <c r="C20" i="37" s="1"/>
  <c r="G20" i="13"/>
  <c r="G19" i="37" s="1"/>
  <c r="G59" i="37" s="1"/>
  <c r="K60" i="37" s="1"/>
  <c r="D105" i="40"/>
  <c r="J105" i="40"/>
  <c r="I12" i="13"/>
  <c r="D25" i="11"/>
  <c r="B71" i="41"/>
  <c r="G66" i="4"/>
  <c r="G123" i="4" s="1"/>
  <c r="G126" i="4" s="1"/>
  <c r="B258" i="6"/>
  <c r="B70" i="4"/>
  <c r="B79" i="4" s="1"/>
  <c r="H93" i="2"/>
  <c r="B62" i="27"/>
  <c r="C309" i="17" s="1"/>
  <c r="F12" i="2"/>
  <c r="C21" i="37"/>
  <c r="C22" i="37" s="1"/>
  <c r="G26" i="37"/>
  <c r="C63" i="37"/>
  <c r="C64" i="37" s="1"/>
  <c r="B47" i="24"/>
  <c r="H61" i="27"/>
  <c r="I310" i="17" s="1"/>
  <c r="D281" i="17"/>
  <c r="K26" i="37"/>
  <c r="H71" i="41"/>
  <c r="H33" i="41"/>
  <c r="H108" i="41" s="1"/>
  <c r="I115" i="40"/>
  <c r="B248" i="6"/>
  <c r="B82" i="4"/>
  <c r="D16" i="37"/>
  <c r="C118" i="4"/>
  <c r="C13" i="4"/>
  <c r="D271" i="17" s="1"/>
  <c r="G93" i="13"/>
  <c r="D87" i="18"/>
  <c r="B62" i="25"/>
  <c r="C43" i="4"/>
  <c r="C117" i="4" s="1"/>
  <c r="H272" i="17"/>
  <c r="H21" i="37"/>
  <c r="C70" i="4"/>
  <c r="C45" i="27" s="1"/>
  <c r="D67" i="13"/>
  <c r="D68" i="13" s="1"/>
  <c r="B31" i="36"/>
  <c r="B44" i="36" s="1"/>
  <c r="G43" i="4"/>
  <c r="G117" i="4" s="1"/>
  <c r="D20" i="2"/>
  <c r="C31" i="36"/>
  <c r="C45" i="36" s="1"/>
  <c r="C23" i="4"/>
  <c r="D273" i="17" s="1"/>
  <c r="D204" i="17"/>
  <c r="D69" i="13"/>
  <c r="D70" i="13" s="1"/>
  <c r="I25" i="12"/>
  <c r="C33" i="4"/>
  <c r="D277" i="17" s="1"/>
  <c r="D71" i="2"/>
  <c r="I77" i="13"/>
  <c r="M78" i="13" s="1"/>
  <c r="F20" i="36"/>
  <c r="G61" i="37"/>
  <c r="K62" i="37" s="1"/>
  <c r="D13" i="2"/>
  <c r="D63" i="2" s="1"/>
  <c r="C71" i="4"/>
  <c r="D264" i="17" s="1"/>
  <c r="C84" i="4"/>
  <c r="H20" i="2"/>
  <c r="E30" i="37"/>
  <c r="H75" i="11"/>
  <c r="G4" i="17"/>
  <c r="G105" i="40"/>
  <c r="B81" i="41"/>
  <c r="C104" i="41"/>
  <c r="E205" i="17"/>
  <c r="F51" i="19"/>
  <c r="F104" i="41"/>
  <c r="B70" i="41"/>
  <c r="B79" i="41" s="1"/>
  <c r="F66" i="41"/>
  <c r="F123" i="41" s="1"/>
  <c r="F126" i="41" s="1"/>
  <c r="D11" i="37"/>
  <c r="D12" i="37" s="1"/>
  <c r="G70" i="4"/>
  <c r="G88" i="4" s="1"/>
  <c r="H56" i="36"/>
  <c r="G54" i="36"/>
  <c r="G64" i="36"/>
  <c r="E66" i="37"/>
  <c r="E237" i="17"/>
  <c r="H56" i="17"/>
  <c r="B242" i="6"/>
  <c r="C66" i="4"/>
  <c r="C123" i="4" s="1"/>
  <c r="C126" i="4" s="1"/>
  <c r="D56" i="17"/>
  <c r="D133" i="17"/>
  <c r="C67" i="13"/>
  <c r="C68" i="13" s="1"/>
  <c r="H24" i="37"/>
  <c r="H77" i="13"/>
  <c r="B21" i="37"/>
  <c r="B61" i="37" s="1"/>
  <c r="I55" i="37"/>
  <c r="F25" i="12"/>
  <c r="G71" i="4"/>
  <c r="H264" i="17" s="1"/>
  <c r="I58" i="36"/>
  <c r="N206" i="17"/>
  <c r="H73" i="39"/>
  <c r="D49" i="37"/>
  <c r="D50" i="37" s="1"/>
  <c r="C87" i="18"/>
  <c r="C14" i="37"/>
  <c r="D93" i="34"/>
  <c r="J118" i="41"/>
  <c r="B49" i="37"/>
  <c r="D22" i="31"/>
  <c r="D276" i="17"/>
  <c r="C69" i="2"/>
  <c r="B9" i="35"/>
  <c r="D12" i="13"/>
  <c r="I56" i="31"/>
  <c r="C75" i="11"/>
  <c r="C82" i="11" s="1"/>
  <c r="E67" i="34"/>
  <c r="J25" i="12"/>
  <c r="G34" i="18"/>
  <c r="C81" i="4"/>
  <c r="D99" i="40"/>
  <c r="F237" i="17"/>
  <c r="K10" i="37"/>
  <c r="C79" i="11"/>
  <c r="D80" i="11" s="1"/>
  <c r="I235" i="17"/>
  <c r="H77" i="2"/>
  <c r="I78" i="2" s="1"/>
  <c r="I237" i="17"/>
  <c r="B53" i="37"/>
  <c r="F14" i="37"/>
  <c r="H49" i="37"/>
  <c r="L50" i="37" s="1"/>
  <c r="G49" i="4"/>
  <c r="G23" i="4"/>
  <c r="H273" i="17" s="1"/>
  <c r="G33" i="4"/>
  <c r="B256" i="6"/>
  <c r="H276" i="17"/>
  <c r="G13" i="4"/>
  <c r="H271" i="17" s="1"/>
  <c r="F24" i="24"/>
  <c r="E53" i="34"/>
  <c r="E40" i="34"/>
  <c r="D63" i="37"/>
  <c r="D4" i="17"/>
  <c r="F26" i="12"/>
  <c r="H53" i="37"/>
  <c r="L54" i="37" s="1"/>
  <c r="I53" i="37"/>
  <c r="B54" i="25"/>
  <c r="G150" i="17"/>
  <c r="J68" i="36"/>
  <c r="B239" i="6"/>
  <c r="H105" i="40"/>
  <c r="D288" i="17"/>
  <c r="C103" i="4"/>
  <c r="C104" i="4" s="1"/>
  <c r="J12" i="31"/>
  <c r="J13" i="31" s="1"/>
  <c r="J43" i="31" s="1"/>
  <c r="E60" i="36"/>
  <c r="B66" i="41"/>
  <c r="B123" i="41" s="1"/>
  <c r="B126" i="41" s="1"/>
  <c r="B104" i="41"/>
  <c r="F23" i="41"/>
  <c r="C93" i="24"/>
  <c r="G52" i="36"/>
  <c r="F118" i="41"/>
  <c r="F13" i="41"/>
  <c r="B82" i="41"/>
  <c r="B49" i="41"/>
  <c r="D33" i="31"/>
  <c r="B236" i="6"/>
  <c r="F77" i="13"/>
  <c r="J78" i="13" s="1"/>
  <c r="H125" i="6"/>
  <c r="H126" i="6" s="1"/>
  <c r="E272" i="17"/>
  <c r="G112" i="18"/>
  <c r="I104" i="41"/>
  <c r="F57" i="41"/>
  <c r="F111" i="41" s="1"/>
  <c r="E70" i="37"/>
  <c r="G10" i="37"/>
  <c r="E13" i="13"/>
  <c r="I66" i="41"/>
  <c r="I125" i="41" s="1"/>
  <c r="B43" i="41"/>
  <c r="B109" i="41" s="1"/>
  <c r="F98" i="12"/>
  <c r="G64" i="19"/>
  <c r="X60" i="17" s="1"/>
  <c r="E71" i="13"/>
  <c r="E72" i="13" s="1"/>
  <c r="E12" i="13"/>
  <c r="E236" i="17"/>
  <c r="D26" i="37"/>
  <c r="D65" i="37"/>
  <c r="D66" i="37" s="1"/>
  <c r="H121" i="4"/>
  <c r="D121" i="4"/>
  <c r="J49" i="41"/>
  <c r="E77" i="2"/>
  <c r="E78" i="2" s="1"/>
  <c r="H12" i="2"/>
  <c r="H17" i="8" s="1"/>
  <c r="H37" i="8" s="1"/>
  <c r="B13" i="35"/>
  <c r="B85" i="6" s="1"/>
  <c r="H16" i="37"/>
  <c r="I14" i="37"/>
  <c r="E28" i="37"/>
  <c r="H69" i="13"/>
  <c r="L70" i="13" s="1"/>
  <c r="D20" i="13"/>
  <c r="D24" i="13" s="1"/>
  <c r="H71" i="2"/>
  <c r="I72" i="2" s="1"/>
  <c r="E78" i="34"/>
  <c r="I60" i="36"/>
  <c r="F60" i="31"/>
  <c r="F62" i="31" s="1"/>
  <c r="B33" i="41"/>
  <c r="K39" i="31"/>
  <c r="G50" i="36"/>
  <c r="K52" i="36"/>
  <c r="H13" i="13"/>
  <c r="H65" i="13" s="1"/>
  <c r="L66" i="13" s="1"/>
  <c r="C67" i="34"/>
  <c r="F73" i="39"/>
  <c r="D27" i="37"/>
  <c r="H28" i="37" s="1"/>
  <c r="H93" i="13"/>
  <c r="H95" i="13" s="1"/>
  <c r="J56" i="31"/>
  <c r="B30" i="24"/>
  <c r="B85" i="35"/>
  <c r="B91" i="35" s="1"/>
  <c r="I85" i="35"/>
  <c r="I89" i="35" s="1"/>
  <c r="H112" i="40"/>
  <c r="D112" i="40"/>
  <c r="G23" i="41"/>
  <c r="F43" i="41"/>
  <c r="F109" i="41" s="1"/>
  <c r="F81" i="41"/>
  <c r="B23" i="41"/>
  <c r="B13" i="41"/>
  <c r="B118" i="41"/>
  <c r="J112" i="40"/>
  <c r="K92" i="35"/>
  <c r="H73" i="4"/>
  <c r="I262" i="17" s="1"/>
  <c r="F84" i="4"/>
  <c r="E240" i="17"/>
  <c r="F121" i="4"/>
  <c r="H84" i="4"/>
  <c r="I30" i="37"/>
  <c r="I26" i="37"/>
  <c r="I205" i="17"/>
  <c r="I57" i="41"/>
  <c r="I111" i="41" s="1"/>
  <c r="K70" i="36"/>
  <c r="G13" i="41"/>
  <c r="D93" i="13"/>
  <c r="D95" i="13" s="1"/>
  <c r="B93" i="34"/>
  <c r="B43" i="4"/>
  <c r="C283" i="17" s="1"/>
  <c r="B246" i="6"/>
  <c r="C272" i="17"/>
  <c r="B230" i="6"/>
  <c r="D84" i="4"/>
  <c r="E121" i="4"/>
  <c r="I272" i="17"/>
  <c r="H13" i="2"/>
  <c r="C67" i="37"/>
  <c r="C68" i="37" s="1"/>
  <c r="H26" i="37"/>
  <c r="G57" i="37"/>
  <c r="K58" i="37" s="1"/>
  <c r="B20" i="13"/>
  <c r="B19" i="37" s="1"/>
  <c r="G14" i="37"/>
  <c r="D13" i="13"/>
  <c r="I20" i="13"/>
  <c r="I19" i="37" s="1"/>
  <c r="M20" i="37" s="1"/>
  <c r="H20" i="13"/>
  <c r="H19" i="37" s="1"/>
  <c r="L20" i="37" s="1"/>
  <c r="J66" i="41"/>
  <c r="J123" i="41" s="1"/>
  <c r="J126" i="41" s="1"/>
  <c r="K55" i="31"/>
  <c r="K57" i="31" s="1"/>
  <c r="K63" i="31" s="1"/>
  <c r="B27" i="37"/>
  <c r="B67" i="37" s="1"/>
  <c r="E118" i="41"/>
  <c r="D120" i="18"/>
  <c r="N204" i="17"/>
  <c r="H77" i="39"/>
  <c r="B252" i="6"/>
  <c r="E84" i="4"/>
  <c r="E242" i="17"/>
  <c r="E78" i="11"/>
  <c r="C168" i="17"/>
  <c r="D3" i="2"/>
  <c r="H64" i="11"/>
  <c r="D150" i="17"/>
  <c r="E72" i="36"/>
  <c r="H78" i="11"/>
  <c r="B72" i="24"/>
  <c r="D82" i="11"/>
  <c r="D3" i="18"/>
  <c r="E56" i="34"/>
  <c r="D3" i="19"/>
  <c r="D22" i="6"/>
  <c r="F80" i="11"/>
  <c r="E64" i="37"/>
  <c r="D171" i="17"/>
  <c r="C174" i="17"/>
  <c r="B74" i="24"/>
  <c r="F170" i="17"/>
  <c r="F150" i="17"/>
  <c r="B61" i="35"/>
  <c r="B34" i="35"/>
  <c r="B64" i="25"/>
  <c r="H98" i="12"/>
  <c r="G127" i="40"/>
  <c r="C28" i="11"/>
  <c r="C30" i="11" s="1"/>
  <c r="D26" i="17" s="1"/>
  <c r="B13" i="13"/>
  <c r="B19" i="35" s="1"/>
  <c r="F70" i="41"/>
  <c r="F88" i="41" s="1"/>
  <c r="B72" i="35"/>
  <c r="C91" i="40"/>
  <c r="F92" i="40"/>
  <c r="F33" i="41"/>
  <c r="F108" i="41" s="1"/>
  <c r="C93" i="34"/>
  <c r="G93" i="24"/>
  <c r="J43" i="41"/>
  <c r="J109" i="41" s="1"/>
  <c r="B92" i="13"/>
  <c r="B95" i="13" s="1"/>
  <c r="H18" i="37"/>
  <c r="H60" i="31"/>
  <c r="H62" i="31" s="1"/>
  <c r="E3" i="6"/>
  <c r="E13" i="6" s="1"/>
  <c r="F69" i="17" s="1"/>
  <c r="B79" i="11"/>
  <c r="D168" i="17"/>
  <c r="E66" i="36"/>
  <c r="B57" i="41"/>
  <c r="B111" i="41" s="1"/>
  <c r="F82" i="41"/>
  <c r="G104" i="41"/>
  <c r="B46" i="31"/>
  <c r="B47" i="35"/>
  <c r="F91" i="40"/>
  <c r="B12" i="13"/>
  <c r="J27" i="37"/>
  <c r="H52" i="36"/>
  <c r="I72" i="40"/>
  <c r="I91" i="40" s="1"/>
  <c r="B105" i="18"/>
  <c r="F12" i="17"/>
  <c r="D3" i="11"/>
  <c r="D3" i="24"/>
  <c r="D3" i="27"/>
  <c r="D3" i="4"/>
  <c r="F64" i="19"/>
  <c r="W60" i="17" s="1"/>
  <c r="C49" i="41"/>
  <c r="H49" i="19"/>
  <c r="C127" i="40"/>
  <c r="C3" i="31"/>
  <c r="C3" i="41"/>
  <c r="F27" i="38"/>
  <c r="C3" i="30"/>
  <c r="C45" i="30" s="1"/>
  <c r="C3" i="40"/>
  <c r="C87" i="40" s="1"/>
  <c r="C3" i="36"/>
  <c r="C3" i="37"/>
  <c r="C3" i="13"/>
  <c r="C3" i="12"/>
  <c r="E34" i="27"/>
  <c r="B3" i="8"/>
  <c r="B3" i="25"/>
  <c r="C22" i="6"/>
  <c r="C3" i="19"/>
  <c r="C3" i="4"/>
  <c r="C3" i="27"/>
  <c r="C3" i="18"/>
  <c r="F23" i="38"/>
  <c r="C3" i="24"/>
  <c r="C3" i="2"/>
  <c r="C3" i="11"/>
  <c r="D93" i="24"/>
  <c r="E58" i="18"/>
  <c r="E116" i="40"/>
  <c r="F93" i="24"/>
  <c r="E93" i="24"/>
  <c r="B93" i="24"/>
  <c r="E110" i="40"/>
  <c r="F16" i="37"/>
  <c r="G43" i="41"/>
  <c r="G109" i="41" s="1"/>
  <c r="E49" i="41"/>
  <c r="M205" i="17"/>
  <c r="C12" i="31"/>
  <c r="C48" i="31" s="1"/>
  <c r="C43" i="41"/>
  <c r="C109" i="41" s="1"/>
  <c r="F64" i="11"/>
  <c r="C77" i="25"/>
  <c r="E64" i="19"/>
  <c r="V60" i="17" s="1"/>
  <c r="B26" i="34"/>
  <c r="E54" i="36"/>
  <c r="E12" i="27"/>
  <c r="E13" i="27" s="1"/>
  <c r="E40" i="27" s="1"/>
  <c r="H50" i="36"/>
  <c r="C2" i="31"/>
  <c r="C2" i="40"/>
  <c r="C2" i="30"/>
  <c r="C2" i="37"/>
  <c r="C2" i="34"/>
  <c r="C2" i="13"/>
  <c r="C2" i="35"/>
  <c r="C2" i="41"/>
  <c r="C2" i="12"/>
  <c r="C2" i="36"/>
  <c r="D2" i="39"/>
  <c r="D85" i="35"/>
  <c r="D89" i="35" s="1"/>
  <c r="C53" i="37"/>
  <c r="C54" i="37" s="1"/>
  <c r="F55" i="37"/>
  <c r="F56" i="37" s="1"/>
  <c r="H10" i="37"/>
  <c r="G64" i="11"/>
  <c r="D175" i="17"/>
  <c r="B70" i="25"/>
  <c r="E72" i="40"/>
  <c r="E127" i="40" s="1"/>
  <c r="B75" i="34"/>
  <c r="B64" i="34"/>
  <c r="G56" i="36"/>
  <c r="H85" i="41"/>
  <c r="F78" i="11"/>
  <c r="K71" i="37"/>
  <c r="O72" i="37" s="1"/>
  <c r="K43" i="37"/>
  <c r="K44" i="37"/>
  <c r="K33" i="37"/>
  <c r="K37" i="37"/>
  <c r="K46" i="37"/>
  <c r="F49" i="4"/>
  <c r="F251" i="6" s="1"/>
  <c r="E175" i="17"/>
  <c r="I70" i="36"/>
  <c r="G58" i="36"/>
  <c r="B37" i="34"/>
  <c r="E43" i="27"/>
  <c r="E88" i="40"/>
  <c r="D3" i="34"/>
  <c r="D3" i="35" s="1"/>
  <c r="E3" i="39"/>
  <c r="E13" i="39" s="1"/>
  <c r="D3" i="30"/>
  <c r="D45" i="30" s="1"/>
  <c r="D3" i="40"/>
  <c r="D87" i="40" s="1"/>
  <c r="D3" i="36"/>
  <c r="D3" i="37"/>
  <c r="G27" i="38"/>
  <c r="D3" i="13"/>
  <c r="D3" i="31"/>
  <c r="D3" i="41"/>
  <c r="D3" i="12"/>
  <c r="C69" i="13"/>
  <c r="C70" i="13" s="1"/>
  <c r="H4" i="17"/>
  <c r="G41" i="19"/>
  <c r="D49" i="19"/>
  <c r="C66" i="41"/>
  <c r="C125" i="41" s="1"/>
  <c r="C57" i="41"/>
  <c r="C111" i="41" s="1"/>
  <c r="D117" i="41"/>
  <c r="B112" i="40"/>
  <c r="J92" i="40"/>
  <c r="J90" i="40"/>
  <c r="J91" i="40"/>
  <c r="G91" i="40"/>
  <c r="G92" i="40"/>
  <c r="B92" i="40"/>
  <c r="B91" i="40"/>
  <c r="D92" i="40"/>
  <c r="D91" i="40"/>
  <c r="B105" i="40"/>
  <c r="F105" i="40"/>
  <c r="C23" i="41"/>
  <c r="C105" i="40"/>
  <c r="J99" i="40"/>
  <c r="G99" i="40"/>
  <c r="F99" i="40"/>
  <c r="G112" i="40"/>
  <c r="I88" i="40"/>
  <c r="I117" i="40"/>
  <c r="I79" i="40"/>
  <c r="H48" i="19"/>
  <c r="H91" i="18"/>
  <c r="H92" i="18"/>
  <c r="I85" i="40"/>
  <c r="G48" i="19"/>
  <c r="G51" i="19"/>
  <c r="G92" i="18"/>
  <c r="G91" i="18"/>
  <c r="C51" i="19"/>
  <c r="C48" i="19"/>
  <c r="C92" i="18"/>
  <c r="C91" i="18"/>
  <c r="E75" i="18"/>
  <c r="E48" i="19"/>
  <c r="E51" i="19"/>
  <c r="E91" i="18"/>
  <c r="E92" i="18"/>
  <c r="G105" i="18"/>
  <c r="D105" i="18"/>
  <c r="B48" i="19"/>
  <c r="B51" i="19"/>
  <c r="B92" i="18"/>
  <c r="B91" i="18"/>
  <c r="D48" i="19"/>
  <c r="D91" i="18"/>
  <c r="D92" i="18"/>
  <c r="I108" i="40"/>
  <c r="I116" i="40"/>
  <c r="C105" i="18"/>
  <c r="H105" i="18"/>
  <c r="E105" i="18"/>
  <c r="D110" i="18"/>
  <c r="D112" i="18" s="1"/>
  <c r="E68" i="18"/>
  <c r="E99" i="18"/>
  <c r="C58" i="18"/>
  <c r="C99" i="18"/>
  <c r="C100" i="18"/>
  <c r="D100" i="18"/>
  <c r="K18" i="37"/>
  <c r="B98" i="12"/>
  <c r="D26" i="12"/>
  <c r="D81" i="12" s="1"/>
  <c r="E24" i="37"/>
  <c r="F21" i="37"/>
  <c r="I24" i="37"/>
  <c r="K56" i="36"/>
  <c r="B28" i="12"/>
  <c r="B30" i="12" s="1"/>
  <c r="B103" i="12" s="1"/>
  <c r="E25" i="12"/>
  <c r="C98" i="12"/>
  <c r="B82" i="12"/>
  <c r="C28" i="12"/>
  <c r="F56" i="34"/>
  <c r="B27" i="34"/>
  <c r="E174" i="17"/>
  <c r="C176" i="17"/>
  <c r="B68" i="25"/>
  <c r="D47" i="19"/>
  <c r="D50" i="19"/>
  <c r="D95" i="18"/>
  <c r="D106" i="18"/>
  <c r="D96" i="18"/>
  <c r="D94" i="18"/>
  <c r="H169" i="17"/>
  <c r="H87" i="18"/>
  <c r="H120" i="18"/>
  <c r="E168" i="17"/>
  <c r="F172" i="17"/>
  <c r="H172" i="17"/>
  <c r="G171" i="17"/>
  <c r="I150" i="17"/>
  <c r="I170" i="17"/>
  <c r="B58" i="25"/>
  <c r="C175" i="17"/>
  <c r="W40" i="17"/>
  <c r="B46" i="25"/>
  <c r="B42" i="25"/>
  <c r="B45" i="25"/>
  <c r="B41" i="25"/>
  <c r="B71" i="25"/>
  <c r="B44" i="25"/>
  <c r="B43" i="25"/>
  <c r="I171" i="17"/>
  <c r="G172" i="17"/>
  <c r="B37" i="25"/>
  <c r="G168" i="17"/>
  <c r="B87" i="18"/>
  <c r="B120" i="18"/>
  <c r="F175" i="17"/>
  <c r="B39" i="25"/>
  <c r="E171" i="17"/>
  <c r="B38" i="25"/>
  <c r="B36" i="25"/>
  <c r="C172" i="17"/>
  <c r="B56" i="25"/>
  <c r="H175" i="17"/>
  <c r="E170" i="17"/>
  <c r="B40" i="25"/>
  <c r="D172" i="17"/>
  <c r="H170" i="17"/>
  <c r="H150" i="17"/>
  <c r="E66" i="11"/>
  <c r="E90" i="18"/>
  <c r="C81" i="11"/>
  <c r="T51" i="17" s="1"/>
  <c r="F66" i="11"/>
  <c r="D26" i="24"/>
  <c r="U36" i="17"/>
  <c r="C25" i="24"/>
  <c r="C24" i="24"/>
  <c r="B98" i="11"/>
  <c r="D93" i="18"/>
  <c r="U59" i="17" s="1"/>
  <c r="F90" i="40"/>
  <c r="F90" i="18"/>
  <c r="F129" i="18"/>
  <c r="E81" i="11"/>
  <c r="V51" i="17" s="1"/>
  <c r="H58" i="36"/>
  <c r="K64" i="36"/>
  <c r="I54" i="36"/>
  <c r="G66" i="36"/>
  <c r="F40" i="34"/>
  <c r="G82" i="11"/>
  <c r="E76" i="11"/>
  <c r="E82" i="11"/>
  <c r="G78" i="11"/>
  <c r="F93" i="13"/>
  <c r="F9" i="37"/>
  <c r="F80" i="39" s="1"/>
  <c r="F125" i="41"/>
  <c r="C33" i="41"/>
  <c r="C108" i="41" s="1"/>
  <c r="E57" i="41"/>
  <c r="E111" i="41" s="1"/>
  <c r="G57" i="41"/>
  <c r="G111" i="41" s="1"/>
  <c r="G66" i="41"/>
  <c r="G125" i="41" s="1"/>
  <c r="I23" i="41"/>
  <c r="I24" i="41" s="1"/>
  <c r="I110" i="41" s="1"/>
  <c r="E9" i="37"/>
  <c r="G118" i="41"/>
  <c r="K28" i="37"/>
  <c r="G67" i="37"/>
  <c r="K68" i="37" s="1"/>
  <c r="I118" i="41"/>
  <c r="K43" i="31"/>
  <c r="D114" i="41"/>
  <c r="H118" i="4"/>
  <c r="B73" i="41"/>
  <c r="B65" i="26"/>
  <c r="C79" i="4"/>
  <c r="E118" i="4"/>
  <c r="B63" i="26"/>
  <c r="B88" i="4"/>
  <c r="D118" i="4"/>
  <c r="E22" i="27"/>
  <c r="E13" i="31"/>
  <c r="E42" i="31" s="1"/>
  <c r="E48" i="31"/>
  <c r="E57" i="27"/>
  <c r="F306" i="17" s="1"/>
  <c r="G43" i="27"/>
  <c r="F46" i="27"/>
  <c r="F43" i="27"/>
  <c r="C43" i="27"/>
  <c r="B43" i="27"/>
  <c r="D43" i="27"/>
  <c r="E43" i="41"/>
  <c r="E109" i="41" s="1"/>
  <c r="E13" i="41"/>
  <c r="I49" i="41"/>
  <c r="E70" i="41"/>
  <c r="E88" i="41" s="1"/>
  <c r="E82" i="41"/>
  <c r="B85" i="41"/>
  <c r="E71" i="41"/>
  <c r="E81" i="41"/>
  <c r="I70" i="41"/>
  <c r="I88" i="41" s="1"/>
  <c r="I82" i="41"/>
  <c r="F117" i="41"/>
  <c r="D116" i="41"/>
  <c r="C13" i="41"/>
  <c r="E104" i="41"/>
  <c r="I43" i="41"/>
  <c r="I109" i="41" s="1"/>
  <c r="E66" i="41"/>
  <c r="E125" i="41" s="1"/>
  <c r="G33" i="41"/>
  <c r="I71" i="41"/>
  <c r="I81" i="41"/>
  <c r="B117" i="41"/>
  <c r="C70" i="41"/>
  <c r="H79" i="41"/>
  <c r="G81" i="41"/>
  <c r="G71" i="41"/>
  <c r="G70" i="41"/>
  <c r="G79" i="41" s="1"/>
  <c r="G82" i="41"/>
  <c r="G49" i="41"/>
  <c r="J23" i="41"/>
  <c r="J24" i="41" s="1"/>
  <c r="J110" i="41" s="1"/>
  <c r="J81" i="41"/>
  <c r="J85" i="41" s="1"/>
  <c r="J70" i="41"/>
  <c r="H12" i="31"/>
  <c r="H13" i="31" s="1"/>
  <c r="H42" i="31" s="1"/>
  <c r="F12" i="31"/>
  <c r="F13" i="31" s="1"/>
  <c r="F42" i="31" s="1"/>
  <c r="G75" i="18"/>
  <c r="C127" i="18"/>
  <c r="G127" i="18"/>
  <c r="C75" i="18"/>
  <c r="D127" i="18"/>
  <c r="C112" i="18"/>
  <c r="I33" i="41"/>
  <c r="E33" i="41"/>
  <c r="E23" i="41"/>
  <c r="J30" i="37"/>
  <c r="H64" i="36"/>
  <c r="J31" i="36"/>
  <c r="C20" i="36"/>
  <c r="C59" i="36"/>
  <c r="C60" i="36" s="1"/>
  <c r="C82" i="12"/>
  <c r="J20" i="36"/>
  <c r="H60" i="36"/>
  <c r="G36" i="36"/>
  <c r="K32" i="36"/>
  <c r="I56" i="34"/>
  <c r="J56" i="34"/>
  <c r="F53" i="34"/>
  <c r="G56" i="34"/>
  <c r="F78" i="34"/>
  <c r="F174" i="17"/>
  <c r="B75" i="11"/>
  <c r="B82" i="11" s="1"/>
  <c r="C25" i="11"/>
  <c r="B32" i="25"/>
  <c r="H25" i="11"/>
  <c r="H79" i="11"/>
  <c r="E80" i="11"/>
  <c r="E77" i="25"/>
  <c r="B52" i="25"/>
  <c r="C150" i="17"/>
  <c r="C170" i="17"/>
  <c r="H28" i="11"/>
  <c r="H99" i="11" s="1"/>
  <c r="G25" i="24"/>
  <c r="G24" i="24"/>
  <c r="G22" i="24"/>
  <c r="F22" i="24"/>
  <c r="F25" i="24"/>
  <c r="G81" i="11"/>
  <c r="X51" i="17" s="1"/>
  <c r="G28" i="11"/>
  <c r="G99" i="11" s="1"/>
  <c r="G66" i="11"/>
  <c r="H12" i="17"/>
  <c r="F26" i="24"/>
  <c r="G26" i="24"/>
  <c r="K53" i="34"/>
  <c r="K60" i="36"/>
  <c r="G62" i="36"/>
  <c r="K62" i="36"/>
  <c r="G68" i="36"/>
  <c r="K68" i="36"/>
  <c r="M66" i="39"/>
  <c r="M67" i="39" s="1"/>
  <c r="G70" i="37"/>
  <c r="K70" i="37"/>
  <c r="F13" i="13"/>
  <c r="D49" i="4"/>
  <c r="D251" i="6" s="1"/>
  <c r="E66" i="4"/>
  <c r="E123" i="4" s="1"/>
  <c r="E126" i="4" s="1"/>
  <c r="E38" i="30"/>
  <c r="F38" i="30" s="1"/>
  <c r="G38" i="30" s="1"/>
  <c r="H38" i="30" s="1"/>
  <c r="I38" i="30" s="1"/>
  <c r="J38" i="30" s="1"/>
  <c r="K38" i="30" s="1"/>
  <c r="J33" i="31"/>
  <c r="J22" i="31"/>
  <c r="E39" i="31"/>
  <c r="H56" i="31"/>
  <c r="I33" i="31"/>
  <c r="I12" i="31"/>
  <c r="C13" i="31"/>
  <c r="C42" i="31" s="1"/>
  <c r="I22" i="31"/>
  <c r="D35" i="19"/>
  <c r="D38" i="19" s="1"/>
  <c r="D40" i="19"/>
  <c r="D56" i="19"/>
  <c r="D58" i="19" s="1"/>
  <c r="D64" i="19" s="1"/>
  <c r="U60" i="17" s="1"/>
  <c r="G62" i="27"/>
  <c r="H309" i="17" s="1"/>
  <c r="H56" i="19"/>
  <c r="H58" i="19" s="1"/>
  <c r="H64" i="19" s="1"/>
  <c r="Y60" i="17" s="1"/>
  <c r="H35" i="19"/>
  <c r="H38" i="19" s="1"/>
  <c r="H40" i="19"/>
  <c r="F4" i="17"/>
  <c r="E41" i="19"/>
  <c r="D12" i="27"/>
  <c r="D13" i="27" s="1"/>
  <c r="H12" i="27"/>
  <c r="H13" i="27" s="1"/>
  <c r="H56" i="27" s="1"/>
  <c r="H34" i="27"/>
  <c r="G34" i="27"/>
  <c r="C34" i="27"/>
  <c r="C12" i="27"/>
  <c r="C13" i="27" s="1"/>
  <c r="C62" i="27"/>
  <c r="D309" i="17" s="1"/>
  <c r="G58" i="40"/>
  <c r="J57" i="41"/>
  <c r="J111" i="41" s="1"/>
  <c r="J127" i="40"/>
  <c r="J58" i="40"/>
  <c r="F44" i="41"/>
  <c r="F115" i="41" s="1"/>
  <c r="F110" i="40"/>
  <c r="F112" i="40" s="1"/>
  <c r="F58" i="40"/>
  <c r="B127" i="40"/>
  <c r="D127" i="40"/>
  <c r="C58" i="40"/>
  <c r="F66" i="4"/>
  <c r="F123" i="4" s="1"/>
  <c r="F126" i="4" s="1"/>
  <c r="B66" i="4"/>
  <c r="B123" i="4" s="1"/>
  <c r="B126" i="4" s="1"/>
  <c r="G111" i="4"/>
  <c r="H289" i="17"/>
  <c r="D57" i="4"/>
  <c r="D111" i="4" s="1"/>
  <c r="F57" i="4"/>
  <c r="G289" i="17" s="1"/>
  <c r="H75" i="18"/>
  <c r="H127" i="18"/>
  <c r="B75" i="18"/>
  <c r="B127" i="18"/>
  <c r="E127" i="18"/>
  <c r="E129" i="18" s="1"/>
  <c r="E109" i="40"/>
  <c r="E108" i="40"/>
  <c r="E115" i="40"/>
  <c r="D128" i="18"/>
  <c r="D130" i="18" s="1"/>
  <c r="H34" i="18"/>
  <c r="E13" i="4"/>
  <c r="F271" i="17" s="1"/>
  <c r="B13" i="4"/>
  <c r="D58" i="18"/>
  <c r="D68" i="18"/>
  <c r="F30" i="37"/>
  <c r="E37" i="36"/>
  <c r="H70" i="36"/>
  <c r="E33" i="36"/>
  <c r="E73" i="36" s="1"/>
  <c r="E74" i="36" s="1"/>
  <c r="E36" i="36"/>
  <c r="H68" i="36"/>
  <c r="F40" i="36"/>
  <c r="F71" i="36"/>
  <c r="E68" i="36"/>
  <c r="H66" i="39"/>
  <c r="H67" i="39" s="1"/>
  <c r="F65" i="37"/>
  <c r="J66" i="37" s="1"/>
  <c r="E44" i="36"/>
  <c r="E38" i="36"/>
  <c r="E42" i="36"/>
  <c r="G25" i="12"/>
  <c r="E46" i="36"/>
  <c r="E43" i="36"/>
  <c r="J64" i="36"/>
  <c r="E45" i="36"/>
  <c r="E32" i="36"/>
  <c r="D25" i="12"/>
  <c r="D75" i="12"/>
  <c r="D79" i="12"/>
  <c r="E98" i="12"/>
  <c r="E28" i="12"/>
  <c r="E39" i="36"/>
  <c r="E40" i="36"/>
  <c r="H59" i="37"/>
  <c r="L60" i="37" s="1"/>
  <c r="H25" i="12"/>
  <c r="E41" i="36"/>
  <c r="F44" i="36"/>
  <c r="F43" i="36"/>
  <c r="F39" i="36"/>
  <c r="F41" i="36"/>
  <c r="F46" i="36"/>
  <c r="H41" i="36"/>
  <c r="J28" i="12"/>
  <c r="F36" i="36"/>
  <c r="F45" i="36"/>
  <c r="F33" i="36"/>
  <c r="H62" i="36"/>
  <c r="K25" i="12"/>
  <c r="G26" i="12"/>
  <c r="G81" i="12" s="1"/>
  <c r="H36" i="36"/>
  <c r="H40" i="36"/>
  <c r="H46" i="36"/>
  <c r="H33" i="36"/>
  <c r="H71" i="36"/>
  <c r="L72" i="36" s="1"/>
  <c r="H39" i="36"/>
  <c r="H45" i="36"/>
  <c r="H44" i="36"/>
  <c r="H43" i="36"/>
  <c r="H37" i="36"/>
  <c r="H38" i="36"/>
  <c r="F37" i="36"/>
  <c r="F38" i="36"/>
  <c r="H32" i="36"/>
  <c r="H66" i="36"/>
  <c r="D71" i="36"/>
  <c r="D36" i="36"/>
  <c r="D42" i="36"/>
  <c r="D33" i="36"/>
  <c r="D38" i="36"/>
  <c r="D44" i="36"/>
  <c r="D41" i="36"/>
  <c r="D45" i="36"/>
  <c r="D37" i="36"/>
  <c r="D32" i="36"/>
  <c r="D43" i="36"/>
  <c r="D39" i="36"/>
  <c r="D46" i="36"/>
  <c r="D40" i="36"/>
  <c r="I44" i="36"/>
  <c r="I43" i="36"/>
  <c r="I33" i="36"/>
  <c r="M34" i="36" s="1"/>
  <c r="I42" i="36"/>
  <c r="I32" i="36"/>
  <c r="I71" i="36"/>
  <c r="I37" i="36"/>
  <c r="I46" i="36"/>
  <c r="I41" i="36"/>
  <c r="I40" i="36"/>
  <c r="I45" i="36"/>
  <c r="I38" i="36"/>
  <c r="I39" i="36"/>
  <c r="J54" i="36"/>
  <c r="G46" i="36"/>
  <c r="G43" i="36"/>
  <c r="G44" i="36"/>
  <c r="G33" i="36"/>
  <c r="K34" i="36" s="1"/>
  <c r="G42" i="36"/>
  <c r="G71" i="36"/>
  <c r="G37" i="36"/>
  <c r="G45" i="36"/>
  <c r="G41" i="36"/>
  <c r="G38" i="36"/>
  <c r="G39" i="36"/>
  <c r="G40" i="36"/>
  <c r="I36" i="36"/>
  <c r="F53" i="37"/>
  <c r="M40" i="34"/>
  <c r="D40" i="34"/>
  <c r="D78" i="34"/>
  <c r="D53" i="34"/>
  <c r="D67" i="34"/>
  <c r="L67" i="34"/>
  <c r="L40" i="34"/>
  <c r="L53" i="34"/>
  <c r="I28" i="12"/>
  <c r="I98" i="12"/>
  <c r="C95" i="11"/>
  <c r="B34" i="25"/>
  <c r="G80" i="11"/>
  <c r="J66" i="39"/>
  <c r="J67" i="39" s="1"/>
  <c r="F77" i="25"/>
  <c r="C64" i="11"/>
  <c r="D64" i="11"/>
  <c r="E64" i="11"/>
  <c r="B61" i="24"/>
  <c r="C12" i="17"/>
  <c r="B81" i="11"/>
  <c r="S51" i="17" s="1"/>
  <c r="B28" i="11"/>
  <c r="B20" i="24"/>
  <c r="B66" i="24"/>
  <c r="B77" i="24"/>
  <c r="B52" i="24"/>
  <c r="S38" i="17" s="1"/>
  <c r="B65" i="24"/>
  <c r="D24" i="24"/>
  <c r="D22" i="24"/>
  <c r="B34" i="24"/>
  <c r="B56" i="24"/>
  <c r="D28" i="11"/>
  <c r="D99" i="11" s="1"/>
  <c r="D81" i="11"/>
  <c r="U51" i="17" s="1"/>
  <c r="E12" i="17"/>
  <c r="K30" i="12"/>
  <c r="K99" i="12"/>
  <c r="K66" i="39"/>
  <c r="K67" i="39" s="1"/>
  <c r="H66" i="11"/>
  <c r="C70" i="11"/>
  <c r="D70" i="11"/>
  <c r="C66" i="11"/>
  <c r="D66" i="11"/>
  <c r="G70" i="11"/>
  <c r="F70" i="11"/>
  <c r="D77" i="25"/>
  <c r="F3" i="6"/>
  <c r="F7" i="6"/>
  <c r="J12" i="13"/>
  <c r="J71" i="13"/>
  <c r="N72" i="13" s="1"/>
  <c r="J11" i="37"/>
  <c r="J69" i="37"/>
  <c r="J85" i="35"/>
  <c r="J89" i="35" s="1"/>
  <c r="E21" i="37"/>
  <c r="E20" i="13"/>
  <c r="J53" i="37"/>
  <c r="N54" i="37" s="1"/>
  <c r="F33" i="31"/>
  <c r="J26" i="37"/>
  <c r="J67" i="13"/>
  <c r="N68" i="13" s="1"/>
  <c r="J69" i="13"/>
  <c r="N70" i="13" s="1"/>
  <c r="J13" i="13"/>
  <c r="J19" i="35" s="1"/>
  <c r="J23" i="35" s="1"/>
  <c r="J21" i="37"/>
  <c r="N22" i="37" s="1"/>
  <c r="J20" i="13"/>
  <c r="J19" i="37" s="1"/>
  <c r="N20" i="37" s="1"/>
  <c r="E11" i="37"/>
  <c r="E77" i="13"/>
  <c r="H33" i="31"/>
  <c r="F92" i="13"/>
  <c r="J14" i="37"/>
  <c r="M206" i="17"/>
  <c r="F85" i="35"/>
  <c r="F77" i="39"/>
  <c r="F69" i="13"/>
  <c r="M204" i="17"/>
  <c r="F67" i="13"/>
  <c r="C85" i="35"/>
  <c r="C90" i="35" s="1"/>
  <c r="C56" i="31"/>
  <c r="C33" i="31"/>
  <c r="C22" i="31"/>
  <c r="F12" i="13"/>
  <c r="F71" i="13"/>
  <c r="G22" i="31"/>
  <c r="G56" i="31"/>
  <c r="E54" i="37"/>
  <c r="B12" i="31"/>
  <c r="B22" i="31"/>
  <c r="G24" i="37"/>
  <c r="G63" i="37"/>
  <c r="G66" i="37"/>
  <c r="G85" i="35"/>
  <c r="G91" i="35" s="1"/>
  <c r="G33" i="31"/>
  <c r="D60" i="31"/>
  <c r="D62" i="31" s="1"/>
  <c r="F27" i="37"/>
  <c r="F17" i="37"/>
  <c r="F22" i="31"/>
  <c r="F56" i="31"/>
  <c r="B33" i="31"/>
  <c r="H22" i="31"/>
  <c r="E68" i="13"/>
  <c r="H85" i="35"/>
  <c r="H87" i="35" s="1"/>
  <c r="G12" i="31"/>
  <c r="F24" i="37"/>
  <c r="J24" i="37"/>
  <c r="F63" i="37"/>
  <c r="E85" i="35"/>
  <c r="B51" i="37"/>
  <c r="F20" i="13"/>
  <c r="F19" i="37" s="1"/>
  <c r="F12" i="37"/>
  <c r="F51" i="37"/>
  <c r="D29" i="8"/>
  <c r="D57" i="27"/>
  <c r="E306" i="17" s="1"/>
  <c r="D22" i="27"/>
  <c r="E330" i="17"/>
  <c r="E71" i="2"/>
  <c r="E12" i="2"/>
  <c r="F205" i="17"/>
  <c r="E73" i="4"/>
  <c r="F262" i="17" s="1"/>
  <c r="F238" i="17"/>
  <c r="E93" i="2"/>
  <c r="E61" i="27"/>
  <c r="C236" i="17"/>
  <c r="B15" i="26"/>
  <c r="C16" i="26" s="1"/>
  <c r="G235" i="17"/>
  <c r="F77" i="2"/>
  <c r="C242" i="17"/>
  <c r="B17" i="26"/>
  <c r="B134" i="6" s="1"/>
  <c r="B24" i="26"/>
  <c r="B9" i="26"/>
  <c r="B107" i="6" s="1"/>
  <c r="B110" i="6" s="1"/>
  <c r="B111" i="6" s="1"/>
  <c r="C237" i="17"/>
  <c r="B27" i="26"/>
  <c r="B141" i="6" s="1"/>
  <c r="B61" i="27"/>
  <c r="C238" i="17"/>
  <c r="B93" i="2"/>
  <c r="B73" i="4"/>
  <c r="C262" i="17" s="1"/>
  <c r="F62" i="27"/>
  <c r="G309" i="17" s="1"/>
  <c r="D242" i="17"/>
  <c r="D237" i="17"/>
  <c r="H240" i="17"/>
  <c r="H241" i="17"/>
  <c r="D24" i="2"/>
  <c r="D120" i="4" s="1"/>
  <c r="D62" i="27"/>
  <c r="D34" i="27"/>
  <c r="I309" i="17"/>
  <c r="F206" i="17"/>
  <c r="F241" i="17"/>
  <c r="G240" i="17"/>
  <c r="F125" i="6"/>
  <c r="F126" i="6" s="1"/>
  <c r="B77" i="2"/>
  <c r="C235" i="17"/>
  <c r="B11" i="26"/>
  <c r="B92" i="6" s="1"/>
  <c r="B104" i="6" s="1"/>
  <c r="B20" i="2"/>
  <c r="B21" i="26"/>
  <c r="C204" i="17"/>
  <c r="B69" i="2"/>
  <c r="B9" i="8"/>
  <c r="C10" i="8" s="1"/>
  <c r="B13" i="2"/>
  <c r="B67" i="2"/>
  <c r="C206" i="17"/>
  <c r="B15" i="8"/>
  <c r="B16" i="8" s="1"/>
  <c r="F34" i="27"/>
  <c r="B57" i="27"/>
  <c r="C306" i="17" s="1"/>
  <c r="C330" i="17"/>
  <c r="B22" i="27"/>
  <c r="D236" i="17"/>
  <c r="D240" i="17"/>
  <c r="D206" i="17"/>
  <c r="C61" i="27"/>
  <c r="D238" i="17"/>
  <c r="C93" i="2"/>
  <c r="C73" i="4"/>
  <c r="D262" i="17" s="1"/>
  <c r="H242" i="17"/>
  <c r="H237" i="17"/>
  <c r="H22" i="27"/>
  <c r="F242" i="17"/>
  <c r="F133" i="17"/>
  <c r="E13" i="2"/>
  <c r="F204" i="17"/>
  <c r="E67" i="2"/>
  <c r="E68" i="2" s="1"/>
  <c r="E69" i="2"/>
  <c r="G61" i="27"/>
  <c r="H238" i="17"/>
  <c r="G93" i="2"/>
  <c r="G73" i="4"/>
  <c r="H262" i="17" s="1"/>
  <c r="G12" i="27"/>
  <c r="G13" i="27" s="1"/>
  <c r="C57" i="27"/>
  <c r="D306" i="17" s="1"/>
  <c r="C22" i="27"/>
  <c r="D330" i="17"/>
  <c r="G206" i="17"/>
  <c r="G236" i="17"/>
  <c r="G241" i="17"/>
  <c r="C240" i="17"/>
  <c r="B13" i="26"/>
  <c r="B124" i="6" s="1"/>
  <c r="B204" i="6" s="1"/>
  <c r="B205" i="6" s="1"/>
  <c r="G330" i="17"/>
  <c r="F22" i="27"/>
  <c r="F57" i="27"/>
  <c r="G306" i="17" s="1"/>
  <c r="B34" i="27"/>
  <c r="D241" i="17"/>
  <c r="G20" i="2"/>
  <c r="G19" i="26" s="1"/>
  <c r="G86" i="8"/>
  <c r="G91" i="8" s="1"/>
  <c r="E20" i="2"/>
  <c r="C77" i="2"/>
  <c r="D235" i="17"/>
  <c r="H204" i="17"/>
  <c r="G67" i="2"/>
  <c r="H68" i="2" s="1"/>
  <c r="G13" i="2"/>
  <c r="H133" i="17"/>
  <c r="G69" i="2"/>
  <c r="C20" i="2"/>
  <c r="C19" i="26" s="1"/>
  <c r="G22" i="27"/>
  <c r="G57" i="27"/>
  <c r="H306" i="17" s="1"/>
  <c r="H330" i="17"/>
  <c r="F61" i="27"/>
  <c r="F73" i="4"/>
  <c r="G262" i="17" s="1"/>
  <c r="G238" i="17"/>
  <c r="G254" i="17" s="1"/>
  <c r="G255" i="17" s="1"/>
  <c r="G256" i="17" s="1"/>
  <c r="F93" i="2"/>
  <c r="F95" i="2" s="1"/>
  <c r="F20" i="2"/>
  <c r="G237" i="17"/>
  <c r="F67" i="2"/>
  <c r="G204" i="17"/>
  <c r="G133" i="17"/>
  <c r="F13" i="2"/>
  <c r="F69" i="2"/>
  <c r="C205" i="17"/>
  <c r="B71" i="2"/>
  <c r="B13" i="8"/>
  <c r="C14" i="8" s="1"/>
  <c r="B12" i="2"/>
  <c r="B17" i="8" s="1"/>
  <c r="B37" i="8" s="1"/>
  <c r="B26" i="26"/>
  <c r="F12" i="27"/>
  <c r="F13" i="27" s="1"/>
  <c r="B12" i="27"/>
  <c r="B13" i="27" s="1"/>
  <c r="C33" i="8"/>
  <c r="C71" i="2"/>
  <c r="D205" i="17"/>
  <c r="C12" i="2"/>
  <c r="H206" i="17"/>
  <c r="G77" i="2"/>
  <c r="H235" i="17"/>
  <c r="G33" i="8"/>
  <c r="G71" i="2"/>
  <c r="H205" i="17"/>
  <c r="G12" i="2"/>
  <c r="C13" i="2"/>
  <c r="J33" i="41"/>
  <c r="G271" i="17"/>
  <c r="G264" i="17"/>
  <c r="F23" i="4"/>
  <c r="G273" i="17" s="1"/>
  <c r="F82" i="4"/>
  <c r="F70" i="4"/>
  <c r="F88" i="4" s="1"/>
  <c r="F43" i="4"/>
  <c r="F117" i="4" s="1"/>
  <c r="G281" i="17"/>
  <c r="E49" i="4"/>
  <c r="E251" i="6" s="1"/>
  <c r="D23" i="4"/>
  <c r="E273" i="17" s="1"/>
  <c r="H57" i="4"/>
  <c r="H82" i="4"/>
  <c r="I281" i="17"/>
  <c r="H43" i="4"/>
  <c r="H117" i="4" s="1"/>
  <c r="H70" i="4"/>
  <c r="E288" i="17"/>
  <c r="D103" i="4"/>
  <c r="D104" i="4" s="1"/>
  <c r="E37" i="27"/>
  <c r="E56" i="17"/>
  <c r="D81" i="4"/>
  <c r="E276" i="17"/>
  <c r="D71" i="4"/>
  <c r="D33" i="4"/>
  <c r="F281" i="17"/>
  <c r="E82" i="4"/>
  <c r="E43" i="4"/>
  <c r="E117" i="4" s="1"/>
  <c r="E70" i="4"/>
  <c r="E45" i="27" s="1"/>
  <c r="E57" i="4"/>
  <c r="H49" i="4"/>
  <c r="H251" i="6" s="1"/>
  <c r="H66" i="4"/>
  <c r="I107" i="2" s="1"/>
  <c r="D82" i="4"/>
  <c r="D43" i="4"/>
  <c r="D117" i="4" s="1"/>
  <c r="E281" i="17"/>
  <c r="D70" i="4"/>
  <c r="D79" i="4" s="1"/>
  <c r="G276" i="17"/>
  <c r="G56" i="17"/>
  <c r="F33" i="4"/>
  <c r="F81" i="4"/>
  <c r="G282" i="17"/>
  <c r="B81" i="4"/>
  <c r="C56" i="17"/>
  <c r="B33" i="4"/>
  <c r="C37" i="27"/>
  <c r="B71" i="4"/>
  <c r="C276" i="17"/>
  <c r="H81" i="4"/>
  <c r="I276" i="17"/>
  <c r="H33" i="4"/>
  <c r="I56" i="17"/>
  <c r="H71" i="4"/>
  <c r="M37" i="27"/>
  <c r="E23" i="4"/>
  <c r="F273" i="17" s="1"/>
  <c r="E71" i="4"/>
  <c r="F276" i="17"/>
  <c r="E33" i="4"/>
  <c r="F56" i="17"/>
  <c r="E81" i="4"/>
  <c r="F37" i="27"/>
  <c r="F288" i="17"/>
  <c r="E103" i="4"/>
  <c r="E104" i="4" s="1"/>
  <c r="C109" i="4"/>
  <c r="H277" i="17"/>
  <c r="H13" i="4"/>
  <c r="I288" i="17"/>
  <c r="H103" i="4"/>
  <c r="H104" i="4" s="1"/>
  <c r="F282" i="17"/>
  <c r="H23" i="4"/>
  <c r="I273" i="17" s="1"/>
  <c r="I282" i="17"/>
  <c r="D13" i="4"/>
  <c r="E282" i="17"/>
  <c r="D66" i="4"/>
  <c r="C284" i="17" l="1"/>
  <c r="D86" i="8"/>
  <c r="D47" i="8"/>
  <c r="D57" i="17"/>
  <c r="D261" i="17"/>
  <c r="D263" i="17" s="1"/>
  <c r="D265" i="17" s="1"/>
  <c r="E231" i="6"/>
  <c r="D253" i="6"/>
  <c r="E249" i="6"/>
  <c r="D53" i="27"/>
  <c r="E49" i="17"/>
  <c r="B95" i="2"/>
  <c r="E253" i="6"/>
  <c r="F60" i="2"/>
  <c r="H249" i="6"/>
  <c r="H60" i="2"/>
  <c r="F59" i="8"/>
  <c r="F58" i="13"/>
  <c r="F24" i="41"/>
  <c r="E55" i="31"/>
  <c r="E57" i="31" s="1"/>
  <c r="E63" i="31" s="1"/>
  <c r="D48" i="31"/>
  <c r="F116" i="41"/>
  <c r="H125" i="41"/>
  <c r="H116" i="41"/>
  <c r="D72" i="41"/>
  <c r="D127" i="41" s="1"/>
  <c r="H44" i="41"/>
  <c r="H115" i="41" s="1"/>
  <c r="H117" i="41"/>
  <c r="H243" i="6"/>
  <c r="C57" i="17"/>
  <c r="G109" i="4"/>
  <c r="C261" i="17"/>
  <c r="B45" i="27"/>
  <c r="E237" i="6"/>
  <c r="H253" i="6"/>
  <c r="I24" i="13"/>
  <c r="F62" i="13"/>
  <c r="G60" i="13"/>
  <c r="C95" i="13"/>
  <c r="C51" i="37"/>
  <c r="C52" i="37" s="1"/>
  <c r="H76" i="12"/>
  <c r="D19" i="37"/>
  <c r="D95" i="2"/>
  <c r="H86" i="8"/>
  <c r="H91" i="8" s="1"/>
  <c r="C60" i="2"/>
  <c r="I207" i="17"/>
  <c r="D56" i="8"/>
  <c r="D60" i="2"/>
  <c r="B69" i="26"/>
  <c r="B70" i="26" s="1"/>
  <c r="E70" i="2"/>
  <c r="B30" i="26"/>
  <c r="H81" i="11"/>
  <c r="Y51" i="17" s="1"/>
  <c r="E30" i="11"/>
  <c r="E207" i="17"/>
  <c r="I12" i="17"/>
  <c r="H95" i="2"/>
  <c r="D72" i="8"/>
  <c r="G60" i="2"/>
  <c r="D70" i="2"/>
  <c r="I59" i="37"/>
  <c r="M60" i="37" s="1"/>
  <c r="G22" i="37"/>
  <c r="I28" i="37"/>
  <c r="D51" i="37"/>
  <c r="D52" i="37" s="1"/>
  <c r="G31" i="37"/>
  <c r="G71" i="37" s="1"/>
  <c r="K72" i="37" s="1"/>
  <c r="E18" i="37"/>
  <c r="H70" i="37"/>
  <c r="F43" i="8"/>
  <c r="F82" i="6"/>
  <c r="F249" i="6"/>
  <c r="E82" i="6"/>
  <c r="H82" i="6"/>
  <c r="G72" i="13"/>
  <c r="E66" i="26"/>
  <c r="F63" i="8"/>
  <c r="C70" i="2"/>
  <c r="E60" i="2"/>
  <c r="F49" i="8"/>
  <c r="F68" i="26"/>
  <c r="E243" i="6"/>
  <c r="D249" i="6"/>
  <c r="C88" i="4"/>
  <c r="E53" i="24"/>
  <c r="M89" i="8"/>
  <c r="F231" i="6"/>
  <c r="F237" i="6" s="1"/>
  <c r="D64" i="26"/>
  <c r="F74" i="8"/>
  <c r="J80" i="12"/>
  <c r="G249" i="6"/>
  <c r="G68" i="26"/>
  <c r="G52" i="26"/>
  <c r="H72" i="41"/>
  <c r="V36" i="17"/>
  <c r="W37" i="17" s="1"/>
  <c r="G237" i="6"/>
  <c r="D61" i="8"/>
  <c r="G66" i="26"/>
  <c r="C62" i="2"/>
  <c r="J27" i="34"/>
  <c r="H24" i="41"/>
  <c r="C249" i="6"/>
  <c r="H72" i="13"/>
  <c r="H63" i="13"/>
  <c r="L64" i="13" s="1"/>
  <c r="J40" i="34"/>
  <c r="M88" i="8"/>
  <c r="D72" i="25"/>
  <c r="F70" i="26"/>
  <c r="H47" i="25"/>
  <c r="G47" i="25"/>
  <c r="D47" i="25"/>
  <c r="C47" i="25"/>
  <c r="F47" i="25"/>
  <c r="D50" i="26"/>
  <c r="G72" i="25"/>
  <c r="K50" i="37"/>
  <c r="I70" i="13"/>
  <c r="F60" i="25"/>
  <c r="G40" i="24"/>
  <c r="B68" i="35"/>
  <c r="B28" i="35"/>
  <c r="B41" i="35"/>
  <c r="D237" i="6"/>
  <c r="G31" i="26"/>
  <c r="G45" i="26" s="1"/>
  <c r="D243" i="6"/>
  <c r="C237" i="6"/>
  <c r="H237" i="6"/>
  <c r="F24" i="2"/>
  <c r="F87" i="4" s="1"/>
  <c r="F19" i="26"/>
  <c r="G20" i="26" s="1"/>
  <c r="C59" i="26"/>
  <c r="E19" i="8"/>
  <c r="E60" i="6"/>
  <c r="E101" i="11"/>
  <c r="E102" i="11"/>
  <c r="E103" i="11"/>
  <c r="E105" i="11"/>
  <c r="E106" i="11"/>
  <c r="H19" i="8"/>
  <c r="H60" i="6"/>
  <c r="L14" i="13"/>
  <c r="H19" i="35"/>
  <c r="H75" i="8"/>
  <c r="H64" i="8"/>
  <c r="H50" i="8"/>
  <c r="I18" i="8"/>
  <c r="D19" i="8"/>
  <c r="D25" i="8" s="1"/>
  <c r="D60" i="6"/>
  <c r="E239" i="17"/>
  <c r="E243" i="17" s="1"/>
  <c r="D19" i="26"/>
  <c r="D31" i="26" s="1"/>
  <c r="D37" i="26" s="1"/>
  <c r="I76" i="35"/>
  <c r="I38" i="35"/>
  <c r="I65" i="35"/>
  <c r="I51" i="35"/>
  <c r="E62" i="39"/>
  <c r="G19" i="35"/>
  <c r="G23" i="35" s="1"/>
  <c r="G73" i="25"/>
  <c r="X42" i="17" s="1"/>
  <c r="G34" i="25"/>
  <c r="H78" i="24"/>
  <c r="E41" i="25"/>
  <c r="C67" i="24"/>
  <c r="F33" i="8"/>
  <c r="G243" i="6"/>
  <c r="H14" i="8"/>
  <c r="H71" i="8"/>
  <c r="H60" i="8"/>
  <c r="H55" i="8"/>
  <c r="H46" i="8"/>
  <c r="I14" i="8"/>
  <c r="G80" i="12"/>
  <c r="K80" i="12"/>
  <c r="G61" i="26"/>
  <c r="G22" i="26"/>
  <c r="E22" i="26"/>
  <c r="E61" i="26"/>
  <c r="H72" i="25"/>
  <c r="I72" i="25"/>
  <c r="D16" i="8"/>
  <c r="D62" i="8"/>
  <c r="D63" i="8" s="1"/>
  <c r="D73" i="8"/>
  <c r="D74" i="8" s="1"/>
  <c r="D48" i="8"/>
  <c r="D49" i="8" s="1"/>
  <c r="D89" i="6"/>
  <c r="D90" i="6" s="1"/>
  <c r="J74" i="35"/>
  <c r="J63" i="35"/>
  <c r="J49" i="35"/>
  <c r="J25" i="35"/>
  <c r="J36" i="35"/>
  <c r="C16" i="8"/>
  <c r="C124" i="6"/>
  <c r="C14" i="26"/>
  <c r="C53" i="26"/>
  <c r="D54" i="26" s="1"/>
  <c r="C12" i="26"/>
  <c r="D67" i="24"/>
  <c r="D10" i="8"/>
  <c r="D58" i="8"/>
  <c r="D59" i="8" s="1"/>
  <c r="D69" i="8"/>
  <c r="D70" i="8" s="1"/>
  <c r="D42" i="8"/>
  <c r="D43" i="8" s="1"/>
  <c r="D79" i="6"/>
  <c r="F12" i="8"/>
  <c r="F44" i="8"/>
  <c r="F31" i="8"/>
  <c r="G70" i="35"/>
  <c r="G45" i="35"/>
  <c r="G54" i="35"/>
  <c r="G32" i="35"/>
  <c r="G59" i="35"/>
  <c r="G85" i="6"/>
  <c r="I24" i="35"/>
  <c r="I74" i="35"/>
  <c r="I49" i="35"/>
  <c r="I25" i="35"/>
  <c r="I36" i="35"/>
  <c r="I63" i="35"/>
  <c r="D14" i="26"/>
  <c r="G16" i="26"/>
  <c r="G55" i="26"/>
  <c r="G70" i="26"/>
  <c r="E10" i="8"/>
  <c r="F53" i="24"/>
  <c r="G78" i="24"/>
  <c r="F243" i="6"/>
  <c r="H16" i="8"/>
  <c r="H62" i="8"/>
  <c r="H73" i="8"/>
  <c r="H48" i="8"/>
  <c r="H89" i="6"/>
  <c r="I16" i="8"/>
  <c r="C243" i="6"/>
  <c r="C259" i="6"/>
  <c r="D85" i="6"/>
  <c r="D70" i="35"/>
  <c r="D59" i="35"/>
  <c r="D54" i="35"/>
  <c r="D55" i="35" s="1"/>
  <c r="D45" i="35"/>
  <c r="D32" i="35"/>
  <c r="D17" i="35"/>
  <c r="D57" i="26"/>
  <c r="D134" i="6"/>
  <c r="D18" i="26"/>
  <c r="E76" i="12"/>
  <c r="E82" i="12"/>
  <c r="G49" i="8"/>
  <c r="G70" i="8"/>
  <c r="E61" i="8"/>
  <c r="H259" i="6"/>
  <c r="B38" i="8"/>
  <c r="B18" i="8"/>
  <c r="G59" i="26"/>
  <c r="B10" i="8"/>
  <c r="B79" i="6"/>
  <c r="B135" i="6" s="1"/>
  <c r="B136" i="6" s="1"/>
  <c r="J76" i="35"/>
  <c r="J51" i="35"/>
  <c r="J38" i="35"/>
  <c r="J65" i="35"/>
  <c r="K102" i="12"/>
  <c r="K101" i="12"/>
  <c r="K103" i="12"/>
  <c r="K83" i="12"/>
  <c r="K85" i="12"/>
  <c r="I106" i="11"/>
  <c r="D63" i="13"/>
  <c r="D64" i="13" s="1"/>
  <c r="D19" i="35"/>
  <c r="F85" i="41"/>
  <c r="I239" i="17"/>
  <c r="H19" i="26"/>
  <c r="C76" i="35"/>
  <c r="C65" i="35"/>
  <c r="C66" i="35" s="1"/>
  <c r="C51" i="35"/>
  <c r="C38" i="35"/>
  <c r="Y50" i="17"/>
  <c r="H98" i="11"/>
  <c r="D73" i="25"/>
  <c r="D34" i="25"/>
  <c r="H27" i="24"/>
  <c r="H40" i="24"/>
  <c r="D51" i="26"/>
  <c r="D52" i="26" s="1"/>
  <c r="D12" i="26"/>
  <c r="D92" i="6"/>
  <c r="D104" i="6" s="1"/>
  <c r="G44" i="8"/>
  <c r="G12" i="8"/>
  <c r="G31" i="8"/>
  <c r="E44" i="8"/>
  <c r="E12" i="8"/>
  <c r="E31" i="8"/>
  <c r="H43" i="8"/>
  <c r="I43" i="8"/>
  <c r="H52" i="26"/>
  <c r="I52" i="26"/>
  <c r="H85" i="6"/>
  <c r="H70" i="35"/>
  <c r="H59" i="35"/>
  <c r="H54" i="35"/>
  <c r="L55" i="35" s="1"/>
  <c r="H45" i="35"/>
  <c r="H23" i="35"/>
  <c r="H17" i="35"/>
  <c r="H32" i="35"/>
  <c r="J24" i="35"/>
  <c r="F132" i="6"/>
  <c r="F73" i="25"/>
  <c r="D28" i="26"/>
  <c r="D67" i="26"/>
  <c r="D68" i="26" s="1"/>
  <c r="D141" i="6"/>
  <c r="E51" i="26"/>
  <c r="F52" i="26" s="1"/>
  <c r="E12" i="26"/>
  <c r="E92" i="6"/>
  <c r="E104" i="6" s="1"/>
  <c r="F105" i="6" s="1"/>
  <c r="H66" i="26"/>
  <c r="I66" i="26"/>
  <c r="G50" i="26"/>
  <c r="G134" i="6"/>
  <c r="G57" i="26"/>
  <c r="G18" i="26"/>
  <c r="H18" i="26"/>
  <c r="E18" i="26"/>
  <c r="E57" i="26"/>
  <c r="E134" i="6"/>
  <c r="D78" i="24"/>
  <c r="H69" i="26"/>
  <c r="H30" i="26"/>
  <c r="I30" i="26"/>
  <c r="D66" i="26"/>
  <c r="E74" i="35"/>
  <c r="E49" i="35"/>
  <c r="E63" i="35"/>
  <c r="E36" i="35"/>
  <c r="C10" i="26"/>
  <c r="F66" i="26"/>
  <c r="F78" i="24"/>
  <c r="F67" i="24"/>
  <c r="I76" i="12"/>
  <c r="I82" i="12"/>
  <c r="M76" i="12"/>
  <c r="E10" i="26"/>
  <c r="E76" i="26"/>
  <c r="E49" i="26"/>
  <c r="E50" i="26" s="1"/>
  <c r="E107" i="6"/>
  <c r="E110" i="6" s="1"/>
  <c r="J22" i="35"/>
  <c r="G74" i="8"/>
  <c r="F64" i="26"/>
  <c r="E72" i="8"/>
  <c r="F253" i="6"/>
  <c r="C19" i="8"/>
  <c r="C23" i="8" s="1"/>
  <c r="C60" i="6"/>
  <c r="E17" i="8"/>
  <c r="E37" i="8" s="1"/>
  <c r="F3" i="26"/>
  <c r="F13" i="6"/>
  <c r="G69" i="17" s="1"/>
  <c r="F65" i="13"/>
  <c r="F19" i="35"/>
  <c r="F25" i="35" s="1"/>
  <c r="E65" i="13"/>
  <c r="E66" i="13" s="1"/>
  <c r="E19" i="35"/>
  <c r="E25" i="35" s="1"/>
  <c r="B86" i="8"/>
  <c r="B90" i="8" s="1"/>
  <c r="F30" i="11"/>
  <c r="G26" i="17" s="1"/>
  <c r="F99" i="11"/>
  <c r="H53" i="24"/>
  <c r="E36" i="25"/>
  <c r="E43" i="25"/>
  <c r="E46" i="25"/>
  <c r="E33" i="25"/>
  <c r="E37" i="25"/>
  <c r="E40" i="25"/>
  <c r="E71" i="25"/>
  <c r="E72" i="25" s="1"/>
  <c r="E38" i="25"/>
  <c r="E44" i="25"/>
  <c r="E39" i="25"/>
  <c r="E42" i="25"/>
  <c r="E45" i="25"/>
  <c r="E32" i="25"/>
  <c r="C40" i="24"/>
  <c r="C78" i="24"/>
  <c r="C63" i="35"/>
  <c r="C74" i="35"/>
  <c r="C36" i="35"/>
  <c r="C49" i="35"/>
  <c r="C25" i="35"/>
  <c r="H70" i="8"/>
  <c r="I70" i="8"/>
  <c r="H34" i="25"/>
  <c r="H73" i="25"/>
  <c r="C66" i="26"/>
  <c r="C28" i="26"/>
  <c r="D40" i="24"/>
  <c r="C44" i="8"/>
  <c r="C12" i="8"/>
  <c r="C31" i="8"/>
  <c r="H12" i="8"/>
  <c r="H44" i="8"/>
  <c r="H31" i="8"/>
  <c r="I12" i="8"/>
  <c r="I22" i="35"/>
  <c r="I23" i="35"/>
  <c r="D69" i="26"/>
  <c r="D70" i="26" s="1"/>
  <c r="D30" i="26"/>
  <c r="F74" i="35"/>
  <c r="F63" i="35"/>
  <c r="F49" i="35"/>
  <c r="F36" i="35"/>
  <c r="G124" i="6"/>
  <c r="G204" i="6" s="1"/>
  <c r="G53" i="26"/>
  <c r="G54" i="26" s="1"/>
  <c r="G14" i="26"/>
  <c r="C134" i="6"/>
  <c r="C136" i="6" s="1"/>
  <c r="C57" i="26"/>
  <c r="C18" i="26"/>
  <c r="G53" i="24"/>
  <c r="I80" i="12"/>
  <c r="M80" i="12"/>
  <c r="G17" i="35"/>
  <c r="E16" i="26"/>
  <c r="E55" i="26"/>
  <c r="F56" i="26" s="1"/>
  <c r="H16" i="26"/>
  <c r="H55" i="26"/>
  <c r="I16" i="26"/>
  <c r="E14" i="26"/>
  <c r="E53" i="26"/>
  <c r="E54" i="26" s="1"/>
  <c r="E124" i="6"/>
  <c r="H82" i="12"/>
  <c r="L76" i="12"/>
  <c r="F22" i="26"/>
  <c r="F61" i="26"/>
  <c r="G59" i="8"/>
  <c r="E47" i="8"/>
  <c r="C17" i="8"/>
  <c r="C37" i="8" s="1"/>
  <c r="B33" i="8"/>
  <c r="B34" i="8" s="1"/>
  <c r="B14" i="8"/>
  <c r="F53" i="27"/>
  <c r="F19" i="8"/>
  <c r="F60" i="6"/>
  <c r="G17" i="8"/>
  <c r="G37" i="8" s="1"/>
  <c r="G19" i="8"/>
  <c r="G23" i="8" s="1"/>
  <c r="G60" i="6"/>
  <c r="E24" i="2"/>
  <c r="E19" i="26"/>
  <c r="E31" i="26" s="1"/>
  <c r="Y55" i="17"/>
  <c r="I105" i="11"/>
  <c r="C68" i="6"/>
  <c r="C69" i="6" s="1"/>
  <c r="C54" i="6"/>
  <c r="C55" i="6" s="1"/>
  <c r="D68" i="6"/>
  <c r="D54" i="6"/>
  <c r="F28" i="12"/>
  <c r="F30" i="12" s="1"/>
  <c r="F81" i="12"/>
  <c r="H287" i="17"/>
  <c r="G251" i="6"/>
  <c r="G253" i="6" s="1"/>
  <c r="F17" i="8"/>
  <c r="F37" i="8" s="1"/>
  <c r="D287" i="17"/>
  <c r="D290" i="17" s="1"/>
  <c r="C251" i="6"/>
  <c r="C253" i="6" s="1"/>
  <c r="D75" i="8"/>
  <c r="D64" i="8"/>
  <c r="D50" i="8"/>
  <c r="X50" i="17"/>
  <c r="G98" i="11"/>
  <c r="H28" i="12"/>
  <c r="H81" i="12"/>
  <c r="H67" i="24"/>
  <c r="C53" i="24"/>
  <c r="C72" i="25"/>
  <c r="C34" i="25"/>
  <c r="C73" i="25"/>
  <c r="C74" i="25" s="1"/>
  <c r="B31" i="8"/>
  <c r="B32" i="8" s="1"/>
  <c r="B12" i="8"/>
  <c r="B44" i="8"/>
  <c r="B45" i="8" s="1"/>
  <c r="D12" i="8"/>
  <c r="D44" i="8"/>
  <c r="D31" i="8"/>
  <c r="C24" i="35"/>
  <c r="F14" i="8"/>
  <c r="F60" i="8"/>
  <c r="F61" i="8" s="1"/>
  <c r="F55" i="8"/>
  <c r="F56" i="8" s="1"/>
  <c r="F46" i="8"/>
  <c r="F47" i="8" s="1"/>
  <c r="F71" i="8"/>
  <c r="F72" i="8" s="1"/>
  <c r="H59" i="8"/>
  <c r="I59" i="8"/>
  <c r="D61" i="26"/>
  <c r="D22" i="26"/>
  <c r="C22" i="35"/>
  <c r="G82" i="12"/>
  <c r="G76" i="12"/>
  <c r="K76" i="12"/>
  <c r="C64" i="26"/>
  <c r="F50" i="26"/>
  <c r="I54" i="26"/>
  <c r="H50" i="26"/>
  <c r="I50" i="26"/>
  <c r="H61" i="26"/>
  <c r="H22" i="26"/>
  <c r="I22" i="26"/>
  <c r="D56" i="26"/>
  <c r="D132" i="6"/>
  <c r="C70" i="35"/>
  <c r="C45" i="35"/>
  <c r="C59" i="35"/>
  <c r="C23" i="35"/>
  <c r="C32" i="35"/>
  <c r="C54" i="35"/>
  <c r="C55" i="35" s="1"/>
  <c r="C85" i="6"/>
  <c r="C132" i="6"/>
  <c r="C61" i="26"/>
  <c r="C22" i="26"/>
  <c r="D259" i="6"/>
  <c r="D53" i="24"/>
  <c r="H64" i="26"/>
  <c r="I64" i="26"/>
  <c r="E64" i="26"/>
  <c r="H28" i="26"/>
  <c r="H67" i="26"/>
  <c r="H141" i="6"/>
  <c r="I28" i="26"/>
  <c r="C31" i="26"/>
  <c r="C38" i="26" s="1"/>
  <c r="E16" i="8"/>
  <c r="F40" i="24"/>
  <c r="M92" i="8"/>
  <c r="G67" i="24"/>
  <c r="F82" i="12"/>
  <c r="F76" i="12"/>
  <c r="G63" i="8"/>
  <c r="F12" i="26"/>
  <c r="G43" i="8"/>
  <c r="E28" i="26"/>
  <c r="E56" i="8"/>
  <c r="D80" i="12"/>
  <c r="H80" i="12"/>
  <c r="N60" i="36"/>
  <c r="E22" i="6"/>
  <c r="E23" i="6" s="1"/>
  <c r="E3" i="26"/>
  <c r="X38" i="17"/>
  <c r="X39" i="17" s="1"/>
  <c r="B64" i="26"/>
  <c r="B66" i="26"/>
  <c r="X40" i="17"/>
  <c r="X41" i="17" s="1"/>
  <c r="X36" i="17"/>
  <c r="X37" i="17" s="1"/>
  <c r="B22" i="35"/>
  <c r="B88" i="35"/>
  <c r="G78" i="34"/>
  <c r="B87" i="35"/>
  <c r="B90" i="35"/>
  <c r="B89" i="35"/>
  <c r="G53" i="34"/>
  <c r="H29" i="8"/>
  <c r="I30" i="8" s="1"/>
  <c r="H136" i="6"/>
  <c r="N77" i="39"/>
  <c r="E27" i="24"/>
  <c r="I70" i="37"/>
  <c r="G62" i="13"/>
  <c r="K62" i="13"/>
  <c r="I62" i="13"/>
  <c r="M62" i="13"/>
  <c r="J58" i="13"/>
  <c r="N58" i="13"/>
  <c r="G58" i="13"/>
  <c r="K58" i="13"/>
  <c r="J62" i="13"/>
  <c r="N62" i="13"/>
  <c r="H62" i="13"/>
  <c r="L62" i="13"/>
  <c r="H58" i="13"/>
  <c r="L58" i="13"/>
  <c r="I58" i="13"/>
  <c r="M58" i="13"/>
  <c r="I67" i="37"/>
  <c r="M68" i="37" s="1"/>
  <c r="G58" i="2"/>
  <c r="E62" i="2"/>
  <c r="H24" i="2"/>
  <c r="H120" i="4" s="1"/>
  <c r="D46" i="27"/>
  <c r="G62" i="2"/>
  <c r="H62" i="2"/>
  <c r="I62" i="2"/>
  <c r="H58" i="2"/>
  <c r="I58" i="2"/>
  <c r="C68" i="2"/>
  <c r="C58" i="2"/>
  <c r="F58" i="2"/>
  <c r="D62" i="2"/>
  <c r="D58" i="2"/>
  <c r="C65" i="13"/>
  <c r="C66" i="13" s="1"/>
  <c r="C59" i="37"/>
  <c r="C60" i="37" s="1"/>
  <c r="I31" i="37"/>
  <c r="M32" i="37" s="1"/>
  <c r="G14" i="13"/>
  <c r="K28" i="13"/>
  <c r="K99" i="13" s="1"/>
  <c r="I95" i="13"/>
  <c r="C14" i="13"/>
  <c r="D61" i="37"/>
  <c r="D62" i="37" s="1"/>
  <c r="C24" i="13"/>
  <c r="C79" i="13" s="1"/>
  <c r="C80" i="13" s="1"/>
  <c r="G56" i="37"/>
  <c r="K98" i="13"/>
  <c r="G95" i="13"/>
  <c r="J95" i="13"/>
  <c r="H110" i="41"/>
  <c r="H112" i="41" s="1"/>
  <c r="H34" i="41"/>
  <c r="H99" i="41" s="1"/>
  <c r="T38" i="17"/>
  <c r="T39" i="17" s="1"/>
  <c r="F93" i="18"/>
  <c r="W59" i="17" s="1"/>
  <c r="W58" i="17"/>
  <c r="H76" i="11"/>
  <c r="I76" i="11"/>
  <c r="V38" i="17"/>
  <c r="V39" i="17" s="1"/>
  <c r="B105" i="6"/>
  <c r="G12" i="37"/>
  <c r="C31" i="37"/>
  <c r="C46" i="37" s="1"/>
  <c r="C91" i="35"/>
  <c r="H54" i="37"/>
  <c r="C46" i="36"/>
  <c r="H128" i="18"/>
  <c r="H130" i="18" s="1"/>
  <c r="Y58" i="17"/>
  <c r="D58" i="40"/>
  <c r="H80" i="11"/>
  <c r="I80" i="11"/>
  <c r="J44" i="36"/>
  <c r="N32" i="36"/>
  <c r="G128" i="18"/>
  <c r="G130" i="18" s="1"/>
  <c r="X58" i="17"/>
  <c r="S40" i="17"/>
  <c r="T41" i="17" s="1"/>
  <c r="E97" i="18"/>
  <c r="V58" i="17"/>
  <c r="G85" i="4"/>
  <c r="C68" i="18"/>
  <c r="T55" i="17"/>
  <c r="F110" i="6"/>
  <c r="T58" i="17"/>
  <c r="C83" i="11"/>
  <c r="C88" i="11" s="1"/>
  <c r="T52" i="17"/>
  <c r="N207" i="17"/>
  <c r="B44" i="41"/>
  <c r="B115" i="41" s="1"/>
  <c r="G99" i="18"/>
  <c r="X55" i="17"/>
  <c r="C82" i="6"/>
  <c r="E100" i="18"/>
  <c r="V55" i="17"/>
  <c r="S58" i="17"/>
  <c r="T36" i="17"/>
  <c r="T37" i="17" s="1"/>
  <c r="E34" i="31"/>
  <c r="G40" i="34"/>
  <c r="E83" i="11"/>
  <c r="V52" i="17"/>
  <c r="B41" i="36"/>
  <c r="G44" i="41"/>
  <c r="G115" i="41" s="1"/>
  <c r="U40" i="17"/>
  <c r="U41" i="17" s="1"/>
  <c r="Y38" i="17"/>
  <c r="M25" i="13"/>
  <c r="J12" i="37"/>
  <c r="N12" i="37"/>
  <c r="K73" i="37"/>
  <c r="O74" i="37" s="1"/>
  <c r="O34" i="37"/>
  <c r="J67" i="37"/>
  <c r="N68" i="37" s="1"/>
  <c r="N28" i="37"/>
  <c r="O76" i="13"/>
  <c r="K82" i="13"/>
  <c r="N14" i="13"/>
  <c r="J70" i="37"/>
  <c r="N70" i="37"/>
  <c r="H63" i="27"/>
  <c r="C46" i="27"/>
  <c r="G46" i="27"/>
  <c r="B116" i="4"/>
  <c r="G72" i="4"/>
  <c r="G105" i="4" s="1"/>
  <c r="G79" i="4"/>
  <c r="I14" i="2"/>
  <c r="H274" i="17"/>
  <c r="C125" i="4"/>
  <c r="C111" i="4"/>
  <c r="F47" i="19"/>
  <c r="G116" i="4"/>
  <c r="B251" i="6"/>
  <c r="B253" i="6" s="1"/>
  <c r="H45" i="27"/>
  <c r="E123" i="41"/>
  <c r="E126" i="41" s="1"/>
  <c r="B117" i="4"/>
  <c r="B259" i="6"/>
  <c r="N67" i="39"/>
  <c r="Q67" i="39"/>
  <c r="O67" i="39"/>
  <c r="D73" i="41"/>
  <c r="C73" i="41"/>
  <c r="E27" i="34"/>
  <c r="D85" i="41"/>
  <c r="B31" i="37"/>
  <c r="B37" i="37" s="1"/>
  <c r="H78" i="13"/>
  <c r="L78" i="13"/>
  <c r="G62" i="39"/>
  <c r="M14" i="13"/>
  <c r="G77" i="39"/>
  <c r="B97" i="40"/>
  <c r="B93" i="40"/>
  <c r="D44" i="41"/>
  <c r="D115" i="41" s="1"/>
  <c r="D24" i="41"/>
  <c r="D110" i="41" s="1"/>
  <c r="D112" i="41" s="1"/>
  <c r="D51" i="19"/>
  <c r="H51" i="19"/>
  <c r="J125" i="41"/>
  <c r="H92" i="41"/>
  <c r="D123" i="41"/>
  <c r="D126" i="41" s="1"/>
  <c r="J117" i="41"/>
  <c r="B88" i="41"/>
  <c r="B72" i="41"/>
  <c r="B127" i="41" s="1"/>
  <c r="C85" i="41"/>
  <c r="C289" i="17"/>
  <c r="C290" i="17" s="1"/>
  <c r="F52" i="19"/>
  <c r="F96" i="18"/>
  <c r="F128" i="18"/>
  <c r="F130" i="18" s="1"/>
  <c r="F106" i="18"/>
  <c r="F95" i="18"/>
  <c r="F50" i="19"/>
  <c r="D283" i="17"/>
  <c r="D284" i="17" s="1"/>
  <c r="B109" i="4"/>
  <c r="F97" i="18"/>
  <c r="F94" i="18"/>
  <c r="B24" i="4"/>
  <c r="B110" i="4" s="1"/>
  <c r="G24" i="4"/>
  <c r="G110" i="4" s="1"/>
  <c r="B99" i="18"/>
  <c r="B68" i="18"/>
  <c r="B100" i="18"/>
  <c r="B58" i="18"/>
  <c r="C33" i="36"/>
  <c r="C40" i="36"/>
  <c r="C42" i="36"/>
  <c r="C43" i="36"/>
  <c r="C38" i="36"/>
  <c r="B33" i="36"/>
  <c r="B73" i="36" s="1"/>
  <c r="C37" i="36"/>
  <c r="C71" i="36"/>
  <c r="C72" i="36" s="1"/>
  <c r="C41" i="36"/>
  <c r="G32" i="36"/>
  <c r="C39" i="36"/>
  <c r="C44" i="36"/>
  <c r="C36" i="36"/>
  <c r="C32" i="36"/>
  <c r="B36" i="36"/>
  <c r="G54" i="37"/>
  <c r="G78" i="13"/>
  <c r="K78" i="34"/>
  <c r="G95" i="2"/>
  <c r="E37" i="11"/>
  <c r="F6" i="17" s="1"/>
  <c r="E80" i="39"/>
  <c r="D80" i="39"/>
  <c r="C80" i="39"/>
  <c r="B80" i="39"/>
  <c r="E81" i="39"/>
  <c r="B81" i="39"/>
  <c r="D81" i="39"/>
  <c r="C81" i="39"/>
  <c r="G76" i="11"/>
  <c r="F65" i="19"/>
  <c r="E77" i="39"/>
  <c r="D77" i="39"/>
  <c r="C77" i="39"/>
  <c r="B77" i="39"/>
  <c r="H86" i="4"/>
  <c r="I61" i="17" s="1"/>
  <c r="D65" i="19"/>
  <c r="G65" i="19"/>
  <c r="C102" i="11"/>
  <c r="I49" i="17"/>
  <c r="E65" i="19"/>
  <c r="H65" i="19"/>
  <c r="H52" i="37"/>
  <c r="H70" i="13"/>
  <c r="I66" i="37"/>
  <c r="B68" i="40"/>
  <c r="F110" i="41"/>
  <c r="F34" i="41"/>
  <c r="F58" i="41" s="1"/>
  <c r="I54" i="37"/>
  <c r="M54" i="37"/>
  <c r="H61" i="37"/>
  <c r="L62" i="37" s="1"/>
  <c r="L22" i="37"/>
  <c r="I18" i="37"/>
  <c r="C55" i="31"/>
  <c r="C57" i="31" s="1"/>
  <c r="C63" i="31" s="1"/>
  <c r="B24" i="13"/>
  <c r="C117" i="41"/>
  <c r="C62" i="39"/>
  <c r="H50" i="37"/>
  <c r="B100" i="40"/>
  <c r="I121" i="41"/>
  <c r="I61" i="37"/>
  <c r="M62" i="37" s="1"/>
  <c r="M22" i="37"/>
  <c r="G44" i="4"/>
  <c r="G115" i="4" s="1"/>
  <c r="H283" i="17"/>
  <c r="H284" i="17" s="1"/>
  <c r="C72" i="4"/>
  <c r="C91" i="4" s="1"/>
  <c r="H261" i="17"/>
  <c r="H263" i="17" s="1"/>
  <c r="H265" i="17" s="1"/>
  <c r="D65" i="2"/>
  <c r="I311" i="17"/>
  <c r="C63" i="13"/>
  <c r="C64" i="13" s="1"/>
  <c r="C61" i="37"/>
  <c r="G62" i="37" s="1"/>
  <c r="D14" i="13"/>
  <c r="F95" i="13"/>
  <c r="I26" i="13"/>
  <c r="I81" i="13" s="1"/>
  <c r="H24" i="13"/>
  <c r="L25" i="13" s="1"/>
  <c r="K14" i="13"/>
  <c r="K20" i="37"/>
  <c r="E63" i="13"/>
  <c r="E64" i="13" s="1"/>
  <c r="C24" i="41"/>
  <c r="C110" i="41" s="1"/>
  <c r="C112" i="41" s="1"/>
  <c r="B46" i="27"/>
  <c r="G45" i="27"/>
  <c r="J48" i="31"/>
  <c r="C108" i="4"/>
  <c r="D114" i="4"/>
  <c r="I64" i="37"/>
  <c r="G27" i="34"/>
  <c r="H31" i="37"/>
  <c r="H37" i="37" s="1"/>
  <c r="H12" i="37"/>
  <c r="B231" i="6"/>
  <c r="B237" i="6" s="1"/>
  <c r="E92" i="2"/>
  <c r="E95" i="2" s="1"/>
  <c r="C29" i="8"/>
  <c r="D30" i="8" s="1"/>
  <c r="D65" i="13"/>
  <c r="D66" i="13" s="1"/>
  <c r="I63" i="13"/>
  <c r="H14" i="13"/>
  <c r="G117" i="41"/>
  <c r="G108" i="4"/>
  <c r="H57" i="17"/>
  <c r="G20" i="37"/>
  <c r="D55" i="31"/>
  <c r="D57" i="31" s="1"/>
  <c r="I65" i="13"/>
  <c r="I78" i="34"/>
  <c r="M78" i="34"/>
  <c r="G24" i="13"/>
  <c r="G79" i="13" s="1"/>
  <c r="K80" i="13" s="1"/>
  <c r="G63" i="13"/>
  <c r="K64" i="13" s="1"/>
  <c r="G65" i="13"/>
  <c r="K66" i="13" s="1"/>
  <c r="D119" i="4"/>
  <c r="D86" i="4"/>
  <c r="D79" i="41"/>
  <c r="H58" i="37"/>
  <c r="D278" i="17"/>
  <c r="G121" i="41"/>
  <c r="I56" i="37"/>
  <c r="M56" i="37"/>
  <c r="H56" i="37"/>
  <c r="I72" i="36"/>
  <c r="M72" i="36"/>
  <c r="H73" i="36"/>
  <c r="L74" i="36" s="1"/>
  <c r="L34" i="36"/>
  <c r="H68" i="13"/>
  <c r="F87" i="11"/>
  <c r="B249" i="6"/>
  <c r="E72" i="2"/>
  <c r="H82" i="11"/>
  <c r="D76" i="11"/>
  <c r="C80" i="11"/>
  <c r="G68" i="13"/>
  <c r="F76" i="11"/>
  <c r="E99" i="40"/>
  <c r="D274" i="17"/>
  <c r="B32" i="35"/>
  <c r="F54" i="37"/>
  <c r="G53" i="27"/>
  <c r="B45" i="36"/>
  <c r="B38" i="36"/>
  <c r="E85" i="41"/>
  <c r="G125" i="4"/>
  <c r="H63" i="2"/>
  <c r="I64" i="2" s="1"/>
  <c r="B59" i="35"/>
  <c r="B57" i="35"/>
  <c r="H22" i="37"/>
  <c r="D28" i="12"/>
  <c r="D99" i="12" s="1"/>
  <c r="M55" i="35"/>
  <c r="F32" i="36"/>
  <c r="G58" i="18"/>
  <c r="E128" i="18"/>
  <c r="E130" i="18" s="1"/>
  <c r="I44" i="41"/>
  <c r="I115" i="41" s="1"/>
  <c r="C44" i="4"/>
  <c r="C115" i="4" s="1"/>
  <c r="B43" i="36"/>
  <c r="B40" i="36"/>
  <c r="B39" i="36"/>
  <c r="E44" i="41"/>
  <c r="E115" i="41" s="1"/>
  <c r="H105" i="41"/>
  <c r="D34" i="41"/>
  <c r="D99" i="41" s="1"/>
  <c r="H114" i="41"/>
  <c r="H119" i="4"/>
  <c r="E52" i="19"/>
  <c r="B85" i="4"/>
  <c r="G105" i="6"/>
  <c r="C24" i="4"/>
  <c r="C110" i="4" s="1"/>
  <c r="B42" i="36"/>
  <c r="E95" i="18"/>
  <c r="H53" i="27"/>
  <c r="F111" i="4"/>
  <c r="H65" i="2"/>
  <c r="I66" i="2" s="1"/>
  <c r="I53" i="34"/>
  <c r="G68" i="18"/>
  <c r="B46" i="36"/>
  <c r="B37" i="36"/>
  <c r="B71" i="36"/>
  <c r="F72" i="36" s="1"/>
  <c r="C116" i="4"/>
  <c r="H114" i="4"/>
  <c r="G100" i="18"/>
  <c r="B99" i="12"/>
  <c r="B37" i="12"/>
  <c r="B43" i="12" s="1"/>
  <c r="B45" i="12" s="1"/>
  <c r="B47" i="12" s="1"/>
  <c r="F72" i="41"/>
  <c r="F92" i="41" s="1"/>
  <c r="E90" i="40"/>
  <c r="E94" i="18"/>
  <c r="E50" i="19"/>
  <c r="F14" i="13"/>
  <c r="I91" i="35"/>
  <c r="C85" i="4"/>
  <c r="C105" i="6"/>
  <c r="D39" i="31"/>
  <c r="F79" i="41"/>
  <c r="E93" i="18"/>
  <c r="V59" i="17" s="1"/>
  <c r="E96" i="18"/>
  <c r="E47" i="19"/>
  <c r="I88" i="35"/>
  <c r="E106" i="18"/>
  <c r="H105" i="6"/>
  <c r="H40" i="34"/>
  <c r="I67" i="34"/>
  <c r="G58" i="37"/>
  <c r="F49" i="37"/>
  <c r="J50" i="37" s="1"/>
  <c r="H278" i="17"/>
  <c r="H58" i="41"/>
  <c r="F99" i="12"/>
  <c r="I123" i="41"/>
  <c r="I126" i="41" s="1"/>
  <c r="B116" i="41"/>
  <c r="C27" i="24"/>
  <c r="B62" i="39"/>
  <c r="D121" i="41"/>
  <c r="I127" i="40"/>
  <c r="D88" i="35"/>
  <c r="B108" i="41"/>
  <c r="I92" i="40"/>
  <c r="F62" i="39"/>
  <c r="H121" i="41"/>
  <c r="D64" i="37"/>
  <c r="H64" i="37"/>
  <c r="E121" i="41"/>
  <c r="F10" i="37"/>
  <c r="I40" i="34"/>
  <c r="J10" i="37"/>
  <c r="F37" i="12"/>
  <c r="F43" i="12" s="1"/>
  <c r="F45" i="12" s="1"/>
  <c r="F47" i="12" s="1"/>
  <c r="H290" i="17"/>
  <c r="F22" i="37"/>
  <c r="B24" i="41"/>
  <c r="B34" i="41" s="1"/>
  <c r="B68" i="41" s="1"/>
  <c r="B243" i="6"/>
  <c r="F121" i="41"/>
  <c r="F78" i="2"/>
  <c r="C111" i="6"/>
  <c r="G60" i="36"/>
  <c r="D23" i="6"/>
  <c r="C27" i="34"/>
  <c r="E56" i="27"/>
  <c r="F302" i="17" s="1"/>
  <c r="B45" i="35"/>
  <c r="B17" i="35"/>
  <c r="B36" i="35" s="1"/>
  <c r="F78" i="13"/>
  <c r="F63" i="13"/>
  <c r="C39" i="31"/>
  <c r="E44" i="27"/>
  <c r="J40" i="36"/>
  <c r="E289" i="17"/>
  <c r="B70" i="35"/>
  <c r="B54" i="35"/>
  <c r="J33" i="36"/>
  <c r="C123" i="41"/>
  <c r="C126" i="41" s="1"/>
  <c r="E49" i="27"/>
  <c r="C90" i="40"/>
  <c r="B23" i="35"/>
  <c r="J46" i="36"/>
  <c r="C44" i="41"/>
  <c r="C115" i="41" s="1"/>
  <c r="F112" i="41"/>
  <c r="B125" i="41"/>
  <c r="I14" i="13"/>
  <c r="E14" i="13"/>
  <c r="I105" i="40"/>
  <c r="I287" i="17"/>
  <c r="F205" i="6"/>
  <c r="E287" i="17"/>
  <c r="G287" i="17"/>
  <c r="G290" i="17" s="1"/>
  <c r="I90" i="35"/>
  <c r="I87" i="35"/>
  <c r="G24" i="41"/>
  <c r="G110" i="41" s="1"/>
  <c r="H205" i="6"/>
  <c r="H116" i="4"/>
  <c r="F287" i="17"/>
  <c r="D207" i="17"/>
  <c r="F35" i="8"/>
  <c r="B144" i="6"/>
  <c r="B145" i="6" s="1"/>
  <c r="B163" i="6"/>
  <c r="H66" i="37"/>
  <c r="G144" i="6"/>
  <c r="G145" i="6" s="1"/>
  <c r="G163" i="6"/>
  <c r="G164" i="6" s="1"/>
  <c r="B35" i="8"/>
  <c r="B36" i="8" s="1"/>
  <c r="B89" i="6"/>
  <c r="B90" i="6" s="1"/>
  <c r="E35" i="8"/>
  <c r="E36" i="8" s="1"/>
  <c r="E144" i="6"/>
  <c r="E145" i="6" s="1"/>
  <c r="E163" i="6"/>
  <c r="E164" i="6" s="1"/>
  <c r="D125" i="6"/>
  <c r="D126" i="6" s="1"/>
  <c r="D67" i="37"/>
  <c r="D28" i="37"/>
  <c r="G35" i="8"/>
  <c r="H36" i="8" s="1"/>
  <c r="F136" i="6"/>
  <c r="F144" i="6"/>
  <c r="F145" i="6" s="1"/>
  <c r="F163" i="6"/>
  <c r="F164" i="6" s="1"/>
  <c r="E136" i="6"/>
  <c r="C144" i="6"/>
  <c r="C145" i="6" s="1"/>
  <c r="C163" i="6"/>
  <c r="C164" i="6" s="1"/>
  <c r="E55" i="35"/>
  <c r="H23" i="38"/>
  <c r="E3" i="2"/>
  <c r="E3" i="27"/>
  <c r="E3" i="18"/>
  <c r="E3" i="24"/>
  <c r="E3" i="8" s="1"/>
  <c r="E3" i="11"/>
  <c r="E3" i="19"/>
  <c r="F22" i="6"/>
  <c r="E3" i="4"/>
  <c r="I147" i="17"/>
  <c r="H149" i="17"/>
  <c r="B72" i="25"/>
  <c r="F72" i="2"/>
  <c r="C76" i="11"/>
  <c r="C271" i="17"/>
  <c r="C274" i="17" s="1"/>
  <c r="B125" i="4"/>
  <c r="C95" i="2"/>
  <c r="C88" i="35"/>
  <c r="C37" i="11"/>
  <c r="B85" i="12"/>
  <c r="B101" i="12"/>
  <c r="B102" i="12"/>
  <c r="C116" i="41"/>
  <c r="C103" i="11"/>
  <c r="H58" i="40"/>
  <c r="H99" i="40"/>
  <c r="F61" i="37"/>
  <c r="F62" i="37" s="1"/>
  <c r="M207" i="17"/>
  <c r="J22" i="37"/>
  <c r="D98" i="12"/>
  <c r="D34" i="31"/>
  <c r="F27" i="34"/>
  <c r="C129" i="18"/>
  <c r="C99" i="11"/>
  <c r="C105" i="11"/>
  <c r="E53" i="27"/>
  <c r="J78" i="34"/>
  <c r="C85" i="11"/>
  <c r="B83" i="12"/>
  <c r="B88" i="12" s="1"/>
  <c r="I79" i="41"/>
  <c r="E35" i="27"/>
  <c r="E38" i="27" s="1"/>
  <c r="C90" i="18"/>
  <c r="C101" i="11"/>
  <c r="K47" i="37"/>
  <c r="D3" i="8"/>
  <c r="D3" i="25"/>
  <c r="B65" i="13"/>
  <c r="B63" i="13"/>
  <c r="C23" i="6"/>
  <c r="C3" i="25"/>
  <c r="C3" i="8"/>
  <c r="E116" i="4"/>
  <c r="F116" i="4"/>
  <c r="C73" i="40"/>
  <c r="C119" i="40"/>
  <c r="C120" i="40"/>
  <c r="C86" i="40"/>
  <c r="E24" i="41"/>
  <c r="E34" i="41" s="1"/>
  <c r="E3" i="34"/>
  <c r="E3" i="35" s="1"/>
  <c r="F3" i="39"/>
  <c r="F13" i="39" s="1"/>
  <c r="E3" i="41"/>
  <c r="E3" i="36"/>
  <c r="E3" i="31"/>
  <c r="E3" i="40"/>
  <c r="E87" i="40" s="1"/>
  <c r="H27" i="38"/>
  <c r="E3" i="30"/>
  <c r="E45" i="30" s="1"/>
  <c r="E3" i="13"/>
  <c r="E3" i="37"/>
  <c r="E3" i="12"/>
  <c r="B53" i="27"/>
  <c r="F66" i="37"/>
  <c r="D87" i="35"/>
  <c r="G89" i="35"/>
  <c r="I110" i="40"/>
  <c r="I112" i="40" s="1"/>
  <c r="E112" i="40"/>
  <c r="E105" i="40"/>
  <c r="E91" i="40"/>
  <c r="D2" i="30"/>
  <c r="D2" i="37"/>
  <c r="E2" i="39"/>
  <c r="D2" i="34"/>
  <c r="D2" i="13"/>
  <c r="D2" i="41"/>
  <c r="D2" i="12"/>
  <c r="D2" i="36"/>
  <c r="D2" i="31"/>
  <c r="D2" i="40"/>
  <c r="D2" i="35"/>
  <c r="J56" i="37"/>
  <c r="D90" i="35"/>
  <c r="G46" i="37"/>
  <c r="G123" i="41"/>
  <c r="G126" i="41" s="1"/>
  <c r="E92" i="40"/>
  <c r="D73" i="40"/>
  <c r="D119" i="40"/>
  <c r="D120" i="40"/>
  <c r="D86" i="40"/>
  <c r="G70" i="13"/>
  <c r="F85" i="4"/>
  <c r="D63" i="31"/>
  <c r="H127" i="41"/>
  <c r="C178" i="17"/>
  <c r="C179" i="17" s="1"/>
  <c r="C44" i="31"/>
  <c r="C46" i="31"/>
  <c r="D91" i="35"/>
  <c r="D52" i="19"/>
  <c r="H40" i="27"/>
  <c r="H91" i="41"/>
  <c r="B94" i="40"/>
  <c r="B47" i="30"/>
  <c r="B128" i="40"/>
  <c r="B98" i="40" s="1"/>
  <c r="B96" i="40"/>
  <c r="B95" i="40"/>
  <c r="B106" i="40"/>
  <c r="D58" i="41"/>
  <c r="C106" i="11"/>
  <c r="I85" i="41"/>
  <c r="I99" i="40"/>
  <c r="H58" i="18"/>
  <c r="H99" i="18"/>
  <c r="H100" i="18"/>
  <c r="H67" i="34"/>
  <c r="K67" i="34"/>
  <c r="G67" i="34"/>
  <c r="C99" i="12"/>
  <c r="C30" i="12"/>
  <c r="J14" i="13"/>
  <c r="J53" i="34"/>
  <c r="G50" i="19"/>
  <c r="G52" i="19"/>
  <c r="G47" i="19"/>
  <c r="G94" i="18"/>
  <c r="G95" i="18"/>
  <c r="G106" i="18"/>
  <c r="G96" i="18"/>
  <c r="G97" i="18"/>
  <c r="D98" i="18"/>
  <c r="B93" i="18"/>
  <c r="S59" i="17" s="1"/>
  <c r="G93" i="18"/>
  <c r="X59" i="17" s="1"/>
  <c r="C98" i="11"/>
  <c r="C50" i="19"/>
  <c r="C52" i="19"/>
  <c r="C47" i="19"/>
  <c r="C94" i="18"/>
  <c r="C95" i="18"/>
  <c r="C106" i="18"/>
  <c r="C96" i="18"/>
  <c r="C97" i="18"/>
  <c r="C93" i="18"/>
  <c r="T59" i="17" s="1"/>
  <c r="H47" i="19"/>
  <c r="H50" i="19"/>
  <c r="H52" i="19"/>
  <c r="H95" i="18"/>
  <c r="H106" i="18"/>
  <c r="H96" i="18"/>
  <c r="H94" i="18"/>
  <c r="H97" i="18"/>
  <c r="H93" i="18"/>
  <c r="Y59" i="17" s="1"/>
  <c r="B47" i="19"/>
  <c r="B50" i="19"/>
  <c r="B52" i="19"/>
  <c r="B95" i="18"/>
  <c r="B94" i="18"/>
  <c r="B106" i="18"/>
  <c r="B96" i="18"/>
  <c r="B97" i="18"/>
  <c r="B47" i="25"/>
  <c r="H42" i="17"/>
  <c r="D90" i="40"/>
  <c r="D129" i="18"/>
  <c r="D90" i="18"/>
  <c r="B90" i="40"/>
  <c r="B99" i="11"/>
  <c r="B90" i="18"/>
  <c r="B129" i="18"/>
  <c r="G90" i="40"/>
  <c r="G129" i="18"/>
  <c r="G90" i="18"/>
  <c r="H90" i="40"/>
  <c r="H129" i="18"/>
  <c r="H90" i="18"/>
  <c r="F27" i="24"/>
  <c r="G68" i="37"/>
  <c r="D26" i="13"/>
  <c r="D28" i="13" s="1"/>
  <c r="E117" i="41"/>
  <c r="E49" i="37"/>
  <c r="I10" i="37"/>
  <c r="E10" i="37"/>
  <c r="H62" i="39"/>
  <c r="F99" i="41"/>
  <c r="D62" i="39"/>
  <c r="H125" i="4"/>
  <c r="B53" i="26"/>
  <c r="C35" i="8"/>
  <c r="D36" i="8" s="1"/>
  <c r="B114" i="41"/>
  <c r="B60" i="6"/>
  <c r="B114" i="4"/>
  <c r="B119" i="4"/>
  <c r="B67" i="26"/>
  <c r="C68" i="26" s="1"/>
  <c r="H35" i="27"/>
  <c r="H38" i="27" s="1"/>
  <c r="F45" i="27"/>
  <c r="F86" i="4"/>
  <c r="G90" i="8"/>
  <c r="B86" i="4"/>
  <c r="G88" i="8"/>
  <c r="D125" i="4"/>
  <c r="E114" i="41"/>
  <c r="B61" i="26"/>
  <c r="B57" i="26"/>
  <c r="F125" i="4"/>
  <c r="E125" i="4"/>
  <c r="G89" i="8"/>
  <c r="E79" i="4"/>
  <c r="F114" i="4"/>
  <c r="D87" i="4"/>
  <c r="G92" i="8"/>
  <c r="E119" i="4"/>
  <c r="D116" i="4"/>
  <c r="C114" i="41"/>
  <c r="C119" i="4"/>
  <c r="C86" i="4"/>
  <c r="C114" i="4"/>
  <c r="F120" i="4"/>
  <c r="G114" i="41"/>
  <c r="G114" i="4"/>
  <c r="G86" i="4"/>
  <c r="G119" i="4"/>
  <c r="D88" i="8"/>
  <c r="D91" i="8"/>
  <c r="D89" i="8"/>
  <c r="B76" i="26"/>
  <c r="B49" i="26"/>
  <c r="C50" i="26" s="1"/>
  <c r="B55" i="26"/>
  <c r="C56" i="26" s="1"/>
  <c r="E86" i="4"/>
  <c r="C53" i="27"/>
  <c r="F79" i="4"/>
  <c r="D92" i="8"/>
  <c r="D90" i="8"/>
  <c r="H79" i="4"/>
  <c r="D119" i="41"/>
  <c r="D86" i="41"/>
  <c r="C119" i="41"/>
  <c r="C86" i="41"/>
  <c r="B119" i="41"/>
  <c r="B86" i="41"/>
  <c r="F114" i="41"/>
  <c r="F119" i="4"/>
  <c r="B51" i="26"/>
  <c r="C52" i="26" s="1"/>
  <c r="E33" i="8"/>
  <c r="E34" i="8" s="1"/>
  <c r="D45" i="27"/>
  <c r="E88" i="4"/>
  <c r="D88" i="4"/>
  <c r="H88" i="4"/>
  <c r="E114" i="4"/>
  <c r="C263" i="17"/>
  <c r="G13" i="31"/>
  <c r="G42" i="31" s="1"/>
  <c r="G48" i="31"/>
  <c r="D43" i="31"/>
  <c r="I13" i="31"/>
  <c r="I43" i="31" s="1"/>
  <c r="I48" i="31"/>
  <c r="E43" i="31"/>
  <c r="J55" i="31"/>
  <c r="J57" i="31" s="1"/>
  <c r="J63" i="31" s="1"/>
  <c r="J39" i="31"/>
  <c r="J42" i="31"/>
  <c r="F48" i="31"/>
  <c r="F43" i="31"/>
  <c r="C43" i="31"/>
  <c r="B13" i="31"/>
  <c r="B42" i="31" s="1"/>
  <c r="B48" i="31"/>
  <c r="H48" i="31"/>
  <c r="H43" i="31"/>
  <c r="B49" i="27"/>
  <c r="B44" i="27"/>
  <c r="H44" i="27"/>
  <c r="H49" i="27"/>
  <c r="D44" i="27"/>
  <c r="D49" i="27"/>
  <c r="F44" i="27"/>
  <c r="F49" i="27"/>
  <c r="G44" i="27"/>
  <c r="G49" i="27"/>
  <c r="C44" i="27"/>
  <c r="C49" i="27"/>
  <c r="E116" i="41"/>
  <c r="E108" i="41"/>
  <c r="B75" i="41"/>
  <c r="D105" i="41"/>
  <c r="D91" i="41"/>
  <c r="D92" i="41"/>
  <c r="F91" i="41"/>
  <c r="G85" i="41"/>
  <c r="C88" i="41"/>
  <c r="C72" i="41"/>
  <c r="C79" i="41"/>
  <c r="I116" i="41"/>
  <c r="I108" i="41"/>
  <c r="I112" i="41" s="1"/>
  <c r="G88" i="41"/>
  <c r="G72" i="41"/>
  <c r="I117" i="41"/>
  <c r="G116" i="41"/>
  <c r="G108" i="41"/>
  <c r="I72" i="41"/>
  <c r="E72" i="41"/>
  <c r="E79" i="41"/>
  <c r="J108" i="41"/>
  <c r="J112" i="41" s="1"/>
  <c r="J116" i="41"/>
  <c r="J88" i="41"/>
  <c r="J72" i="41"/>
  <c r="J90" i="41" s="1"/>
  <c r="J79" i="41"/>
  <c r="D56" i="27"/>
  <c r="D58" i="27" s="1"/>
  <c r="D40" i="27"/>
  <c r="H85" i="4"/>
  <c r="H68" i="18"/>
  <c r="C128" i="18"/>
  <c r="I34" i="41"/>
  <c r="J39" i="36"/>
  <c r="J36" i="36"/>
  <c r="J41" i="36"/>
  <c r="J32" i="36"/>
  <c r="J71" i="36"/>
  <c r="J43" i="36"/>
  <c r="J37" i="36"/>
  <c r="J42" i="36"/>
  <c r="J45" i="36"/>
  <c r="J38" i="36"/>
  <c r="E34" i="36"/>
  <c r="J72" i="13"/>
  <c r="D27" i="34"/>
  <c r="H53" i="34"/>
  <c r="H27" i="34"/>
  <c r="B24" i="35"/>
  <c r="B38" i="35"/>
  <c r="B65" i="35"/>
  <c r="B51" i="35"/>
  <c r="B76" i="35"/>
  <c r="F67" i="34"/>
  <c r="J67" i="34"/>
  <c r="D26" i="2"/>
  <c r="D97" i="2" s="1"/>
  <c r="E149" i="17"/>
  <c r="K146" i="17" s="1"/>
  <c r="C149" i="17"/>
  <c r="G87" i="11"/>
  <c r="G207" i="17"/>
  <c r="H30" i="11"/>
  <c r="I26" i="17" s="1"/>
  <c r="G30" i="11"/>
  <c r="H26" i="17" s="1"/>
  <c r="D27" i="24"/>
  <c r="G27" i="24"/>
  <c r="J54" i="37"/>
  <c r="K72" i="36"/>
  <c r="G64" i="37"/>
  <c r="K64" i="37"/>
  <c r="C34" i="31"/>
  <c r="K55" i="35"/>
  <c r="C87" i="35"/>
  <c r="E24" i="4"/>
  <c r="E34" i="4" s="1"/>
  <c r="E100" i="4" s="1"/>
  <c r="D35" i="27"/>
  <c r="D38" i="27" s="1"/>
  <c r="J34" i="31"/>
  <c r="D41" i="19"/>
  <c r="E4" i="17"/>
  <c r="H41" i="19"/>
  <c r="I4" i="17"/>
  <c r="F127" i="41"/>
  <c r="B128" i="18"/>
  <c r="F24" i="4"/>
  <c r="F110" i="4" s="1"/>
  <c r="I58" i="40"/>
  <c r="L67" i="39"/>
  <c r="C34" i="36"/>
  <c r="C73" i="36"/>
  <c r="C74" i="36" s="1"/>
  <c r="F47" i="36"/>
  <c r="E47" i="36"/>
  <c r="E99" i="12"/>
  <c r="E30" i="12"/>
  <c r="H79" i="13"/>
  <c r="L80" i="13" s="1"/>
  <c r="H75" i="13"/>
  <c r="N209" i="17"/>
  <c r="H26" i="13"/>
  <c r="D82" i="12"/>
  <c r="D76" i="12"/>
  <c r="F73" i="36"/>
  <c r="H47" i="36"/>
  <c r="F34" i="36"/>
  <c r="J30" i="12"/>
  <c r="J99" i="12"/>
  <c r="G98" i="12"/>
  <c r="G28" i="12"/>
  <c r="I34" i="36"/>
  <c r="I73" i="36"/>
  <c r="D72" i="36"/>
  <c r="H72" i="36"/>
  <c r="D73" i="36"/>
  <c r="D34" i="36"/>
  <c r="H34" i="36"/>
  <c r="G73" i="36"/>
  <c r="G34" i="36"/>
  <c r="G47" i="36"/>
  <c r="I47" i="36"/>
  <c r="D47" i="36"/>
  <c r="I99" i="12"/>
  <c r="I30" i="12"/>
  <c r="I27" i="34"/>
  <c r="H78" i="34"/>
  <c r="C65" i="19"/>
  <c r="B74" i="25"/>
  <c r="C87" i="11"/>
  <c r="D149" i="17"/>
  <c r="G149" i="17"/>
  <c r="I149" i="17"/>
  <c r="H87" i="11"/>
  <c r="B67" i="24"/>
  <c r="B53" i="24"/>
  <c r="B87" i="11"/>
  <c r="B27" i="24"/>
  <c r="B40" i="24"/>
  <c r="B78" i="24"/>
  <c r="B30" i="11"/>
  <c r="E88" i="11"/>
  <c r="F207" i="17"/>
  <c r="D30" i="11"/>
  <c r="E26" i="17" s="1"/>
  <c r="D87" i="11"/>
  <c r="K37" i="12"/>
  <c r="K43" i="12" s="1"/>
  <c r="K45" i="12" s="1"/>
  <c r="K47" i="12" s="1"/>
  <c r="K63" i="41" s="1"/>
  <c r="K66" i="41" s="1"/>
  <c r="G52" i="37"/>
  <c r="F70" i="2"/>
  <c r="F68" i="2"/>
  <c r="G7" i="6"/>
  <c r="G3" i="6"/>
  <c r="G13" i="6" s="1"/>
  <c r="H69" i="17" s="1"/>
  <c r="F3" i="18"/>
  <c r="I23" i="38"/>
  <c r="F3" i="19"/>
  <c r="F3" i="24"/>
  <c r="F3" i="2"/>
  <c r="F3" i="27"/>
  <c r="F3" i="4"/>
  <c r="F3" i="11"/>
  <c r="J59" i="37"/>
  <c r="N60" i="37" s="1"/>
  <c r="D20" i="37"/>
  <c r="D31" i="37"/>
  <c r="D41" i="37" s="1"/>
  <c r="D59" i="37"/>
  <c r="H20" i="37"/>
  <c r="I71" i="37"/>
  <c r="M72" i="37" s="1"/>
  <c r="I75" i="13"/>
  <c r="I79" i="13"/>
  <c r="M80" i="13" s="1"/>
  <c r="J61" i="37"/>
  <c r="N62" i="37" s="1"/>
  <c r="J88" i="35"/>
  <c r="J91" i="35"/>
  <c r="J87" i="35"/>
  <c r="J90" i="35"/>
  <c r="F31" i="37"/>
  <c r="F37" i="37" s="1"/>
  <c r="E78" i="13"/>
  <c r="I78" i="13"/>
  <c r="J65" i="13"/>
  <c r="J63" i="13"/>
  <c r="E19" i="37"/>
  <c r="E24" i="13"/>
  <c r="J24" i="13"/>
  <c r="M66" i="35"/>
  <c r="E51" i="37"/>
  <c r="E12" i="37"/>
  <c r="I12" i="37"/>
  <c r="E61" i="37"/>
  <c r="I22" i="37"/>
  <c r="E22" i="37"/>
  <c r="H25" i="13"/>
  <c r="D25" i="13"/>
  <c r="D79" i="13"/>
  <c r="D75" i="13"/>
  <c r="J51" i="37"/>
  <c r="J31" i="37"/>
  <c r="N55" i="35"/>
  <c r="B42" i="37"/>
  <c r="G90" i="35"/>
  <c r="C89" i="35"/>
  <c r="F70" i="13"/>
  <c r="J70" i="13"/>
  <c r="F72" i="13"/>
  <c r="F68" i="13"/>
  <c r="J68" i="13"/>
  <c r="F89" i="35"/>
  <c r="F90" i="35"/>
  <c r="F91" i="35"/>
  <c r="F88" i="35"/>
  <c r="F87" i="35"/>
  <c r="C39" i="37"/>
  <c r="C36" i="37"/>
  <c r="E90" i="35"/>
  <c r="E91" i="35"/>
  <c r="E87" i="35"/>
  <c r="F20" i="37"/>
  <c r="J20" i="37"/>
  <c r="F59" i="37"/>
  <c r="F52" i="37"/>
  <c r="E88" i="35"/>
  <c r="F34" i="31"/>
  <c r="F39" i="31"/>
  <c r="F55" i="31"/>
  <c r="F57" i="31" s="1"/>
  <c r="F63" i="31" s="1"/>
  <c r="F28" i="37"/>
  <c r="J28" i="37"/>
  <c r="F67" i="37"/>
  <c r="I58" i="37"/>
  <c r="E58" i="37"/>
  <c r="B59" i="37"/>
  <c r="H89" i="35"/>
  <c r="H91" i="35"/>
  <c r="H90" i="35"/>
  <c r="H88" i="35"/>
  <c r="C62" i="37"/>
  <c r="G88" i="35"/>
  <c r="F24" i="13"/>
  <c r="C77" i="35"/>
  <c r="E89" i="35"/>
  <c r="G87" i="35"/>
  <c r="B63" i="35"/>
  <c r="F64" i="37"/>
  <c r="J64" i="37"/>
  <c r="C25" i="13"/>
  <c r="C75" i="13"/>
  <c r="F18" i="37"/>
  <c r="J18" i="37"/>
  <c r="F57" i="37"/>
  <c r="H34" i="31"/>
  <c r="H39" i="31"/>
  <c r="H55" i="31"/>
  <c r="H57" i="31" s="1"/>
  <c r="H63" i="31" s="1"/>
  <c r="B38" i="37"/>
  <c r="B56" i="27"/>
  <c r="B40" i="27"/>
  <c r="B35" i="27"/>
  <c r="B38" i="27" s="1"/>
  <c r="F35" i="27"/>
  <c r="F38" i="27" s="1"/>
  <c r="F56" i="27"/>
  <c r="F40" i="27"/>
  <c r="B55" i="8"/>
  <c r="B56" i="8" s="1"/>
  <c r="B60" i="8"/>
  <c r="B61" i="8" s="1"/>
  <c r="B46" i="8"/>
  <c r="B47" i="8" s="1"/>
  <c r="B71" i="8"/>
  <c r="B72" i="8" s="1"/>
  <c r="D239" i="17"/>
  <c r="D243" i="17" s="1"/>
  <c r="H49" i="17"/>
  <c r="G65" i="2"/>
  <c r="G14" i="2"/>
  <c r="G63" i="2"/>
  <c r="G29" i="8"/>
  <c r="F239" i="17"/>
  <c r="F243" i="17" s="1"/>
  <c r="H254" i="17"/>
  <c r="H255" i="17" s="1"/>
  <c r="H256" i="17" s="1"/>
  <c r="E65" i="2"/>
  <c r="E14" i="2"/>
  <c r="F49" i="17"/>
  <c r="E63" i="2"/>
  <c r="E64" i="2" s="1"/>
  <c r="B62" i="8"/>
  <c r="B63" i="8" s="1"/>
  <c r="B48" i="8"/>
  <c r="B49" i="8" s="1"/>
  <c r="B73" i="8"/>
  <c r="B74" i="8" s="1"/>
  <c r="B69" i="8"/>
  <c r="B70" i="8" s="1"/>
  <c r="B58" i="8"/>
  <c r="B59" i="8" s="1"/>
  <c r="B42" i="8"/>
  <c r="B43" i="8" s="1"/>
  <c r="B29" i="8"/>
  <c r="B30" i="8" s="1"/>
  <c r="B22" i="26"/>
  <c r="E86" i="8"/>
  <c r="E89" i="8" s="1"/>
  <c r="C310" i="17"/>
  <c r="C311" i="17" s="1"/>
  <c r="B63" i="27"/>
  <c r="B10" i="26"/>
  <c r="B16" i="26"/>
  <c r="H78" i="2"/>
  <c r="G78" i="2"/>
  <c r="G49" i="17"/>
  <c r="F63" i="2"/>
  <c r="F65" i="2"/>
  <c r="F26" i="2"/>
  <c r="F97" i="2" s="1"/>
  <c r="F14" i="2"/>
  <c r="G239" i="17"/>
  <c r="G243" i="17" s="1"/>
  <c r="G68" i="2"/>
  <c r="H310" i="17"/>
  <c r="H311" i="17" s="1"/>
  <c r="G63" i="27"/>
  <c r="E29" i="8"/>
  <c r="E30" i="8" s="1"/>
  <c r="C239" i="17"/>
  <c r="C243" i="17" s="1"/>
  <c r="B19" i="26"/>
  <c r="C20" i="26" s="1"/>
  <c r="C24" i="2"/>
  <c r="D25" i="2" s="1"/>
  <c r="B28" i="26"/>
  <c r="B18" i="26"/>
  <c r="C65" i="2"/>
  <c r="C63" i="2"/>
  <c r="D64" i="2" s="1"/>
  <c r="D49" i="17"/>
  <c r="C14" i="2"/>
  <c r="G72" i="2"/>
  <c r="H72" i="2"/>
  <c r="F29" i="8"/>
  <c r="F63" i="27"/>
  <c r="G310" i="17"/>
  <c r="G311" i="17" s="1"/>
  <c r="G70" i="2"/>
  <c r="H70" i="2"/>
  <c r="H207" i="17"/>
  <c r="C78" i="2"/>
  <c r="D78" i="2"/>
  <c r="D14" i="2"/>
  <c r="I302" i="17"/>
  <c r="H58" i="27"/>
  <c r="H14" i="2"/>
  <c r="H239" i="17"/>
  <c r="B14" i="26"/>
  <c r="C86" i="8"/>
  <c r="C91" i="8" s="1"/>
  <c r="G24" i="2"/>
  <c r="C120" i="41" s="1"/>
  <c r="B12" i="26"/>
  <c r="E309" i="17"/>
  <c r="E311" i="17" s="1"/>
  <c r="D63" i="27"/>
  <c r="D79" i="2"/>
  <c r="E209" i="17"/>
  <c r="D75" i="2"/>
  <c r="D82" i="2" s="1"/>
  <c r="B24" i="2"/>
  <c r="B26" i="2" s="1"/>
  <c r="C72" i="2"/>
  <c r="D72" i="2"/>
  <c r="B75" i="8"/>
  <c r="B76" i="8" s="1"/>
  <c r="B64" i="8"/>
  <c r="B65" i="8" s="1"/>
  <c r="B50" i="8"/>
  <c r="B51" i="8" s="1"/>
  <c r="F79" i="2"/>
  <c r="F75" i="2"/>
  <c r="G209" i="17"/>
  <c r="F86" i="8"/>
  <c r="F89" i="8" s="1"/>
  <c r="G56" i="27"/>
  <c r="G35" i="27"/>
  <c r="G38" i="27" s="1"/>
  <c r="G40" i="27"/>
  <c r="D310" i="17"/>
  <c r="D311" i="17" s="1"/>
  <c r="C63" i="27"/>
  <c r="B63" i="2"/>
  <c r="B19" i="8"/>
  <c r="C49" i="17"/>
  <c r="B65" i="2"/>
  <c r="C207" i="17"/>
  <c r="C40" i="27"/>
  <c r="C56" i="27"/>
  <c r="C35" i="27"/>
  <c r="C38" i="27" s="1"/>
  <c r="F310" i="17"/>
  <c r="F311" i="17" s="1"/>
  <c r="E63" i="27"/>
  <c r="I243" i="17"/>
  <c r="N239" i="17" s="1"/>
  <c r="J44" i="41"/>
  <c r="J115" i="41" s="1"/>
  <c r="J34" i="41"/>
  <c r="D123" i="4"/>
  <c r="D126" i="4" s="1"/>
  <c r="E108" i="4"/>
  <c r="E44" i="4"/>
  <c r="E115" i="4" s="1"/>
  <c r="F277" i="17"/>
  <c r="F278" i="17" s="1"/>
  <c r="H108" i="4"/>
  <c r="H44" i="4"/>
  <c r="H115" i="4" s="1"/>
  <c r="I277" i="17"/>
  <c r="I278" i="17" s="1"/>
  <c r="G277" i="17"/>
  <c r="G278" i="17" s="1"/>
  <c r="F108" i="4"/>
  <c r="F44" i="4"/>
  <c r="F115" i="4" s="1"/>
  <c r="E283" i="17"/>
  <c r="E284" i="17" s="1"/>
  <c r="D109" i="4"/>
  <c r="H123" i="4"/>
  <c r="H126" i="4" s="1"/>
  <c r="H109" i="4"/>
  <c r="I283" i="17"/>
  <c r="I284" i="17" s="1"/>
  <c r="G261" i="17"/>
  <c r="G263" i="17" s="1"/>
  <c r="G265" i="17" s="1"/>
  <c r="G57" i="17"/>
  <c r="F72" i="4"/>
  <c r="C264" i="17"/>
  <c r="F261" i="17"/>
  <c r="F263" i="17" s="1"/>
  <c r="E72" i="4"/>
  <c r="F57" i="17"/>
  <c r="B72" i="4"/>
  <c r="B48" i="27" s="1"/>
  <c r="F274" i="17"/>
  <c r="I271" i="17"/>
  <c r="I274" i="17" s="1"/>
  <c r="H24" i="4"/>
  <c r="E85" i="4"/>
  <c r="I264" i="17"/>
  <c r="B108" i="4"/>
  <c r="C277" i="17"/>
  <c r="C278" i="17" s="1"/>
  <c r="B44" i="4"/>
  <c r="B115" i="4" s="1"/>
  <c r="G75" i="4"/>
  <c r="E261" i="17"/>
  <c r="E263" i="17" s="1"/>
  <c r="E57" i="17"/>
  <c r="D72" i="4"/>
  <c r="E109" i="4"/>
  <c r="F283" i="17"/>
  <c r="F284" i="17" s="1"/>
  <c r="E277" i="17"/>
  <c r="E278" i="17" s="1"/>
  <c r="D44" i="4"/>
  <c r="D115" i="4" s="1"/>
  <c r="D108" i="4"/>
  <c r="D85" i="4"/>
  <c r="G274" i="17"/>
  <c r="E271" i="17"/>
  <c r="E274" i="17" s="1"/>
  <c r="D24" i="4"/>
  <c r="F264" i="17"/>
  <c r="F289" i="17"/>
  <c r="E111" i="4"/>
  <c r="E264" i="17"/>
  <c r="I261" i="17"/>
  <c r="I263" i="17" s="1"/>
  <c r="H72" i="4"/>
  <c r="I57" i="17"/>
  <c r="H111" i="4"/>
  <c r="I289" i="17"/>
  <c r="F109" i="4"/>
  <c r="G283" i="17"/>
  <c r="G284" i="17" s="1"/>
  <c r="E211" i="17" l="1"/>
  <c r="E212" i="17" s="1"/>
  <c r="E58" i="26"/>
  <c r="H92" i="8"/>
  <c r="H90" i="8"/>
  <c r="H254" i="6"/>
  <c r="F25" i="2"/>
  <c r="F62" i="26"/>
  <c r="I39" i="37"/>
  <c r="G45" i="8"/>
  <c r="T42" i="17"/>
  <c r="T43" i="17" s="1"/>
  <c r="E25" i="2"/>
  <c r="H89" i="8"/>
  <c r="H88" i="8"/>
  <c r="H93" i="8" s="1"/>
  <c r="E49" i="8"/>
  <c r="S52" i="17"/>
  <c r="C26" i="17"/>
  <c r="E85" i="11"/>
  <c r="F26" i="17"/>
  <c r="E254" i="6"/>
  <c r="C34" i="41"/>
  <c r="G127" i="4"/>
  <c r="G91" i="4"/>
  <c r="G48" i="27"/>
  <c r="G92" i="4"/>
  <c r="H279" i="17"/>
  <c r="H294" i="17" s="1"/>
  <c r="G98" i="18"/>
  <c r="G60" i="37"/>
  <c r="C41" i="37"/>
  <c r="C45" i="37"/>
  <c r="C26" i="13"/>
  <c r="C28" i="13" s="1"/>
  <c r="C71" i="37"/>
  <c r="C43" i="37"/>
  <c r="C44" i="37"/>
  <c r="C32" i="37"/>
  <c r="C38" i="37"/>
  <c r="C33" i="37"/>
  <c r="C42" i="37"/>
  <c r="C37" i="37"/>
  <c r="C40" i="37"/>
  <c r="B43" i="37"/>
  <c r="B46" i="37"/>
  <c r="G44" i="37"/>
  <c r="B39" i="37"/>
  <c r="B44" i="37"/>
  <c r="B71" i="37"/>
  <c r="B41" i="37"/>
  <c r="G43" i="37"/>
  <c r="G39" i="37"/>
  <c r="G37" i="37"/>
  <c r="G45" i="37"/>
  <c r="G38" i="37"/>
  <c r="B33" i="37"/>
  <c r="B73" i="37" s="1"/>
  <c r="B45" i="37"/>
  <c r="K32" i="37"/>
  <c r="G33" i="37"/>
  <c r="G73" i="37" s="1"/>
  <c r="K74" i="37" s="1"/>
  <c r="G40" i="37"/>
  <c r="G42" i="37"/>
  <c r="G41" i="37"/>
  <c r="G36" i="37"/>
  <c r="B36" i="37"/>
  <c r="B40" i="37"/>
  <c r="G32" i="37"/>
  <c r="B88" i="8"/>
  <c r="G38" i="26"/>
  <c r="E59" i="8"/>
  <c r="C70" i="26"/>
  <c r="F111" i="6"/>
  <c r="E75" i="2"/>
  <c r="E26" i="2"/>
  <c r="E97" i="2" s="1"/>
  <c r="E65" i="27" s="1"/>
  <c r="H26" i="2"/>
  <c r="H97" i="2" s="1"/>
  <c r="H65" i="27" s="1"/>
  <c r="E79" i="2"/>
  <c r="I209" i="17"/>
  <c r="I211" i="17" s="1"/>
  <c r="I212" i="17" s="1"/>
  <c r="E120" i="4"/>
  <c r="G39" i="26"/>
  <c r="F209" i="17"/>
  <c r="F211" i="17" s="1"/>
  <c r="F212" i="17" s="1"/>
  <c r="H79" i="2"/>
  <c r="I80" i="2" s="1"/>
  <c r="E87" i="4"/>
  <c r="I25" i="2"/>
  <c r="H75" i="2"/>
  <c r="I76" i="2" s="1"/>
  <c r="H87" i="4"/>
  <c r="E70" i="8"/>
  <c r="E63" i="8"/>
  <c r="G40" i="26"/>
  <c r="H98" i="18"/>
  <c r="F58" i="26"/>
  <c r="G33" i="26"/>
  <c r="G73" i="26" s="1"/>
  <c r="D45" i="26"/>
  <c r="G42" i="26"/>
  <c r="D42" i="26"/>
  <c r="E105" i="6"/>
  <c r="G41" i="26"/>
  <c r="G55" i="35"/>
  <c r="D22" i="8"/>
  <c r="G56" i="8"/>
  <c r="G32" i="8"/>
  <c r="M93" i="8"/>
  <c r="V37" i="17"/>
  <c r="D32" i="8"/>
  <c r="D105" i="6"/>
  <c r="F254" i="6"/>
  <c r="E74" i="8"/>
  <c r="I44" i="37"/>
  <c r="I37" i="37"/>
  <c r="B34" i="4"/>
  <c r="B100" i="4" s="1"/>
  <c r="I38" i="37"/>
  <c r="H62" i="37"/>
  <c r="I41" i="37"/>
  <c r="I36" i="37"/>
  <c r="I46" i="37"/>
  <c r="E90" i="6"/>
  <c r="H54" i="26"/>
  <c r="I43" i="37"/>
  <c r="I45" i="37"/>
  <c r="I42" i="37"/>
  <c r="I33" i="37"/>
  <c r="I73" i="37" s="1"/>
  <c r="M74" i="37" s="1"/>
  <c r="I68" i="37"/>
  <c r="I40" i="37"/>
  <c r="D45" i="8"/>
  <c r="D18" i="8"/>
  <c r="B98" i="2"/>
  <c r="B97" i="2"/>
  <c r="H64" i="13"/>
  <c r="C98" i="13"/>
  <c r="G66" i="13"/>
  <c r="N211" i="17"/>
  <c r="N212" i="17" s="1"/>
  <c r="I28" i="13"/>
  <c r="F66" i="13"/>
  <c r="K30" i="13"/>
  <c r="K102" i="13" s="1"/>
  <c r="G64" i="13"/>
  <c r="H66" i="13"/>
  <c r="J26" i="35"/>
  <c r="E70" i="26"/>
  <c r="E43" i="11"/>
  <c r="E45" i="11" s="1"/>
  <c r="E47" i="11" s="1"/>
  <c r="E107" i="11" s="1"/>
  <c r="D46" i="26"/>
  <c r="G44" i="26"/>
  <c r="G37" i="26"/>
  <c r="G71" i="26"/>
  <c r="G36" i="26"/>
  <c r="G43" i="26"/>
  <c r="G46" i="26"/>
  <c r="E43" i="8"/>
  <c r="E68" i="26"/>
  <c r="E52" i="26"/>
  <c r="C254" i="6"/>
  <c r="G254" i="6"/>
  <c r="C42" i="26"/>
  <c r="D254" i="6"/>
  <c r="E33" i="26"/>
  <c r="E71" i="26"/>
  <c r="E32" i="26"/>
  <c r="E45" i="26"/>
  <c r="E43" i="26"/>
  <c r="E44" i="26"/>
  <c r="E46" i="26"/>
  <c r="E36" i="26"/>
  <c r="E42" i="26"/>
  <c r="E40" i="26"/>
  <c r="E39" i="26"/>
  <c r="E38" i="26"/>
  <c r="E37" i="26"/>
  <c r="B23" i="8"/>
  <c r="B20" i="8"/>
  <c r="U52" i="17"/>
  <c r="D106" i="11"/>
  <c r="D101" i="11"/>
  <c r="D102" i="11"/>
  <c r="D103" i="11"/>
  <c r="D105" i="11"/>
  <c r="X52" i="17"/>
  <c r="G106" i="11"/>
  <c r="G101" i="11"/>
  <c r="G102" i="11"/>
  <c r="G103" i="11"/>
  <c r="G105" i="11"/>
  <c r="F23" i="6"/>
  <c r="F54" i="6"/>
  <c r="F68" i="6"/>
  <c r="F69" i="6" s="1"/>
  <c r="D62" i="26"/>
  <c r="H99" i="12"/>
  <c r="H30" i="12"/>
  <c r="F18" i="8"/>
  <c r="F64" i="8"/>
  <c r="F75" i="8"/>
  <c r="F50" i="8"/>
  <c r="G38" i="8"/>
  <c r="H56" i="26"/>
  <c r="H132" i="6"/>
  <c r="I56" i="26"/>
  <c r="F54" i="26"/>
  <c r="C32" i="8"/>
  <c r="C49" i="8"/>
  <c r="E73" i="25"/>
  <c r="E74" i="25" s="1"/>
  <c r="E34" i="25"/>
  <c r="C77" i="8"/>
  <c r="C52" i="8"/>
  <c r="C66" i="8"/>
  <c r="C20" i="8"/>
  <c r="G72" i="8"/>
  <c r="H70" i="26"/>
  <c r="I70" i="26"/>
  <c r="D33" i="26"/>
  <c r="D73" i="26" s="1"/>
  <c r="D71" i="26"/>
  <c r="D38" i="26"/>
  <c r="D36" i="26"/>
  <c r="D43" i="26"/>
  <c r="D44" i="26"/>
  <c r="D39" i="26"/>
  <c r="H74" i="35"/>
  <c r="H25" i="35"/>
  <c r="H36" i="35"/>
  <c r="H63" i="35"/>
  <c r="H49" i="35"/>
  <c r="D65" i="35"/>
  <c r="D66" i="35" s="1"/>
  <c r="D76" i="35"/>
  <c r="D77" i="35" s="1"/>
  <c r="D38" i="35"/>
  <c r="D51" i="35"/>
  <c r="D22" i="35"/>
  <c r="D24" i="35"/>
  <c r="B82" i="6"/>
  <c r="B83" i="6" s="1"/>
  <c r="G61" i="8"/>
  <c r="D40" i="26"/>
  <c r="H74" i="8"/>
  <c r="I74" i="8"/>
  <c r="F45" i="8"/>
  <c r="C204" i="6"/>
  <c r="C205" i="6" s="1"/>
  <c r="C125" i="6"/>
  <c r="C126" i="6" s="1"/>
  <c r="C127" i="6" s="1"/>
  <c r="H56" i="8"/>
  <c r="I56" i="8"/>
  <c r="E47" i="25"/>
  <c r="G74" i="25"/>
  <c r="I51" i="8"/>
  <c r="H65" i="35"/>
  <c r="L66" i="35" s="1"/>
  <c r="H76" i="35"/>
  <c r="L77" i="35" s="1"/>
  <c r="H38" i="35"/>
  <c r="H51" i="35"/>
  <c r="H22" i="35"/>
  <c r="H24" i="35"/>
  <c r="E101" i="12"/>
  <c r="E103" i="12"/>
  <c r="E102" i="12"/>
  <c r="E85" i="12"/>
  <c r="E86" i="12" s="1"/>
  <c r="E83" i="12"/>
  <c r="H106" i="11"/>
  <c r="H101" i="11"/>
  <c r="H102" i="11"/>
  <c r="H103" i="11"/>
  <c r="H105" i="11"/>
  <c r="F102" i="12"/>
  <c r="F101" i="12"/>
  <c r="F103" i="12"/>
  <c r="F85" i="12"/>
  <c r="F86" i="12" s="1"/>
  <c r="F83" i="12"/>
  <c r="G61" i="6"/>
  <c r="F61" i="6"/>
  <c r="C61" i="8"/>
  <c r="C43" i="8"/>
  <c r="G63" i="35"/>
  <c r="G74" i="35"/>
  <c r="G36" i="35"/>
  <c r="G49" i="35"/>
  <c r="G25" i="35"/>
  <c r="C40" i="26"/>
  <c r="I32" i="8"/>
  <c r="H32" i="8"/>
  <c r="H74" i="25"/>
  <c r="I74" i="25"/>
  <c r="Y42" i="17"/>
  <c r="E76" i="35"/>
  <c r="E77" i="35" s="1"/>
  <c r="E65" i="35"/>
  <c r="E66" i="35" s="1"/>
  <c r="E38" i="35"/>
  <c r="E51" i="35"/>
  <c r="E23" i="35"/>
  <c r="E22" i="35"/>
  <c r="E24" i="35"/>
  <c r="E75" i="8"/>
  <c r="E76" i="8" s="1"/>
  <c r="E64" i="8"/>
  <c r="E65" i="8" s="1"/>
  <c r="E50" i="8"/>
  <c r="E51" i="8" s="1"/>
  <c r="E18" i="8"/>
  <c r="D163" i="6"/>
  <c r="D164" i="6" s="1"/>
  <c r="D144" i="6"/>
  <c r="D145" i="6" s="1"/>
  <c r="F72" i="25"/>
  <c r="E45" i="8"/>
  <c r="D74" i="25"/>
  <c r="H20" i="26"/>
  <c r="H59" i="26"/>
  <c r="I20" i="26"/>
  <c r="H31" i="26"/>
  <c r="O86" i="12"/>
  <c r="D23" i="35"/>
  <c r="H63" i="8"/>
  <c r="I63" i="8"/>
  <c r="H61" i="8"/>
  <c r="I61" i="8"/>
  <c r="G76" i="35"/>
  <c r="K77" i="35" s="1"/>
  <c r="G65" i="35"/>
  <c r="K66" i="35" s="1"/>
  <c r="G51" i="35"/>
  <c r="G38" i="35"/>
  <c r="G22" i="35"/>
  <c r="G24" i="35"/>
  <c r="D61" i="6"/>
  <c r="I65" i="8"/>
  <c r="E61" i="6"/>
  <c r="I101" i="12"/>
  <c r="I103" i="12"/>
  <c r="I102" i="12"/>
  <c r="I83" i="12"/>
  <c r="I85" i="12"/>
  <c r="D81" i="2"/>
  <c r="E51" i="17" s="1"/>
  <c r="D98" i="2"/>
  <c r="E68" i="6"/>
  <c r="E69" i="6" s="1"/>
  <c r="E54" i="6"/>
  <c r="E55" i="6" s="1"/>
  <c r="C70" i="8"/>
  <c r="C74" i="8"/>
  <c r="C26" i="35"/>
  <c r="D55" i="6"/>
  <c r="G77" i="8"/>
  <c r="G66" i="8"/>
  <c r="G20" i="8"/>
  <c r="G52" i="8"/>
  <c r="H38" i="17" s="1"/>
  <c r="F20" i="8"/>
  <c r="F77" i="8"/>
  <c r="F66" i="8"/>
  <c r="F52" i="8"/>
  <c r="G38" i="17" s="1"/>
  <c r="C64" i="8"/>
  <c r="C65" i="8" s="1"/>
  <c r="C50" i="8"/>
  <c r="C51" i="8" s="1"/>
  <c r="C75" i="8"/>
  <c r="C76" i="8" s="1"/>
  <c r="C18" i="8"/>
  <c r="G47" i="8"/>
  <c r="H45" i="8"/>
  <c r="I45" i="8"/>
  <c r="C45" i="8"/>
  <c r="F38" i="8"/>
  <c r="C56" i="8"/>
  <c r="C59" i="8"/>
  <c r="C63" i="8"/>
  <c r="F74" i="25"/>
  <c r="W42" i="17"/>
  <c r="X43" i="17" s="1"/>
  <c r="K88" i="12"/>
  <c r="O84" i="12"/>
  <c r="C47" i="8"/>
  <c r="D58" i="26"/>
  <c r="D135" i="6"/>
  <c r="D136" i="6" s="1"/>
  <c r="D82" i="6"/>
  <c r="E83" i="6" s="1"/>
  <c r="C54" i="26"/>
  <c r="H72" i="8"/>
  <c r="I72" i="8"/>
  <c r="D20" i="8"/>
  <c r="D66" i="8"/>
  <c r="D77" i="8"/>
  <c r="D52" i="8"/>
  <c r="I76" i="8"/>
  <c r="H61" i="6"/>
  <c r="I61" i="6"/>
  <c r="E66" i="8"/>
  <c r="E77" i="8"/>
  <c r="E52" i="8"/>
  <c r="F38" i="17" s="1"/>
  <c r="E20" i="8"/>
  <c r="F59" i="26"/>
  <c r="F20" i="26"/>
  <c r="F31" i="26"/>
  <c r="F41" i="26" s="1"/>
  <c r="F98" i="2"/>
  <c r="J102" i="12"/>
  <c r="J101" i="12"/>
  <c r="J103" i="12"/>
  <c r="J83" i="12"/>
  <c r="J85" i="12"/>
  <c r="D38" i="8"/>
  <c r="C72" i="8"/>
  <c r="D32" i="26"/>
  <c r="C71" i="26"/>
  <c r="C33" i="26"/>
  <c r="C45" i="26"/>
  <c r="C36" i="26"/>
  <c r="C39" i="26"/>
  <c r="C43" i="26"/>
  <c r="C37" i="26"/>
  <c r="C46" i="26"/>
  <c r="C44" i="26"/>
  <c r="H68" i="26"/>
  <c r="I68" i="26"/>
  <c r="C62" i="26"/>
  <c r="H62" i="26"/>
  <c r="I62" i="26"/>
  <c r="E59" i="26"/>
  <c r="E41" i="26"/>
  <c r="E20" i="26"/>
  <c r="G64" i="8"/>
  <c r="G50" i="8"/>
  <c r="G75" i="8"/>
  <c r="G76" i="8" s="1"/>
  <c r="G18" i="8"/>
  <c r="C38" i="8"/>
  <c r="E204" i="6"/>
  <c r="E205" i="6" s="1"/>
  <c r="E125" i="6"/>
  <c r="E126" i="6" s="1"/>
  <c r="F127" i="6" s="1"/>
  <c r="E132" i="6"/>
  <c r="E133" i="6" s="1"/>
  <c r="E56" i="26"/>
  <c r="C58" i="26"/>
  <c r="I26" i="35"/>
  <c r="W52" i="17"/>
  <c r="F106" i="11"/>
  <c r="F101" i="11"/>
  <c r="F102" i="11"/>
  <c r="F103" i="11"/>
  <c r="F105" i="11"/>
  <c r="F83" i="11"/>
  <c r="F37" i="11"/>
  <c r="F85" i="11"/>
  <c r="F76" i="35"/>
  <c r="F51" i="35"/>
  <c r="F65" i="35"/>
  <c r="F38" i="35"/>
  <c r="F24" i="35"/>
  <c r="F22" i="35"/>
  <c r="F23" i="35"/>
  <c r="C61" i="6"/>
  <c r="G58" i="26"/>
  <c r="H58" i="26"/>
  <c r="F34" i="25"/>
  <c r="E32" i="8"/>
  <c r="D74" i="35"/>
  <c r="D63" i="35"/>
  <c r="D25" i="35"/>
  <c r="D36" i="35"/>
  <c r="D49" i="35"/>
  <c r="H49" i="8"/>
  <c r="I49" i="8"/>
  <c r="G56" i="26"/>
  <c r="G132" i="6"/>
  <c r="F32" i="8"/>
  <c r="E62" i="26"/>
  <c r="G62" i="26"/>
  <c r="H47" i="8"/>
  <c r="I47" i="8"/>
  <c r="D20" i="26"/>
  <c r="D59" i="26"/>
  <c r="D60" i="26" s="1"/>
  <c r="D41" i="26"/>
  <c r="H18" i="8"/>
  <c r="H20" i="8"/>
  <c r="H66" i="8"/>
  <c r="H77" i="8"/>
  <c r="H52" i="8"/>
  <c r="I20" i="8"/>
  <c r="C41" i="26"/>
  <c r="Y43" i="17"/>
  <c r="Y39" i="17"/>
  <c r="B54" i="26"/>
  <c r="H38" i="8"/>
  <c r="I38" i="8"/>
  <c r="U39" i="17"/>
  <c r="U37" i="17"/>
  <c r="B52" i="26"/>
  <c r="B68" i="26"/>
  <c r="H245" i="17"/>
  <c r="W39" i="17"/>
  <c r="G22" i="6"/>
  <c r="G23" i="6" s="1"/>
  <c r="G3" i="26"/>
  <c r="B58" i="26"/>
  <c r="B50" i="26"/>
  <c r="B62" i="26"/>
  <c r="Y37" i="17"/>
  <c r="Y41" i="17"/>
  <c r="B92" i="35"/>
  <c r="E38" i="8"/>
  <c r="H24" i="8"/>
  <c r="H23" i="8"/>
  <c r="F22" i="8"/>
  <c r="F23" i="8"/>
  <c r="D39" i="8"/>
  <c r="E36" i="17" s="1"/>
  <c r="E130" i="17" s="1"/>
  <c r="D23" i="8"/>
  <c r="E24" i="8"/>
  <c r="E23" i="8"/>
  <c r="H42" i="37"/>
  <c r="H43" i="37"/>
  <c r="H40" i="37"/>
  <c r="B49" i="35"/>
  <c r="D81" i="13"/>
  <c r="D26" i="8"/>
  <c r="E38" i="17"/>
  <c r="D24" i="8"/>
  <c r="B26" i="35"/>
  <c r="H83" i="11"/>
  <c r="I84" i="11" s="1"/>
  <c r="Y52" i="17"/>
  <c r="V53" i="17"/>
  <c r="G110" i="6"/>
  <c r="G111" i="6" s="1"/>
  <c r="J73" i="36"/>
  <c r="N74" i="36" s="1"/>
  <c r="N34" i="36"/>
  <c r="G136" i="6"/>
  <c r="G82" i="6"/>
  <c r="H83" i="6" s="1"/>
  <c r="I34" i="31"/>
  <c r="T53" i="17"/>
  <c r="V40" i="17"/>
  <c r="G205" i="6"/>
  <c r="G125" i="6"/>
  <c r="G126" i="6" s="1"/>
  <c r="H127" i="6" s="1"/>
  <c r="D110" i="6"/>
  <c r="E111" i="6" s="1"/>
  <c r="E42" i="17"/>
  <c r="U42" i="17"/>
  <c r="J72" i="36"/>
  <c r="N72" i="36"/>
  <c r="N64" i="13"/>
  <c r="N25" i="13"/>
  <c r="N66" i="13"/>
  <c r="D100" i="41"/>
  <c r="J37" i="37"/>
  <c r="N32" i="37"/>
  <c r="J52" i="37"/>
  <c r="N52" i="37"/>
  <c r="C127" i="4"/>
  <c r="C92" i="4"/>
  <c r="B91" i="8"/>
  <c r="B92" i="8"/>
  <c r="D66" i="2"/>
  <c r="E66" i="2"/>
  <c r="B89" i="8"/>
  <c r="G34" i="4"/>
  <c r="C112" i="4"/>
  <c r="C68" i="41"/>
  <c r="H39" i="8"/>
  <c r="H22" i="8"/>
  <c r="H26" i="8"/>
  <c r="H25" i="8"/>
  <c r="D75" i="41"/>
  <c r="D94" i="41" s="1"/>
  <c r="D68" i="41"/>
  <c r="C87" i="41"/>
  <c r="I82" i="13"/>
  <c r="M76" i="13"/>
  <c r="B87" i="41"/>
  <c r="D87" i="41"/>
  <c r="H82" i="13"/>
  <c r="L76" i="13"/>
  <c r="E73" i="41"/>
  <c r="E100" i="41" s="1"/>
  <c r="E87" i="41"/>
  <c r="I66" i="13"/>
  <c r="M66" i="13"/>
  <c r="I64" i="13"/>
  <c r="M64" i="13"/>
  <c r="B97" i="41"/>
  <c r="B91" i="41"/>
  <c r="B105" i="41"/>
  <c r="B92" i="41"/>
  <c r="F98" i="18"/>
  <c r="E98" i="18"/>
  <c r="D285" i="17"/>
  <c r="G112" i="4"/>
  <c r="E58" i="40"/>
  <c r="H46" i="37"/>
  <c r="C47" i="36"/>
  <c r="H71" i="37"/>
  <c r="L72" i="37" s="1"/>
  <c r="H39" i="37"/>
  <c r="H33" i="37"/>
  <c r="H73" i="37" s="1"/>
  <c r="L74" i="37" s="1"/>
  <c r="K37" i="13"/>
  <c r="K43" i="13" s="1"/>
  <c r="K45" i="13" s="1"/>
  <c r="K47" i="13" s="1"/>
  <c r="H44" i="37"/>
  <c r="H38" i="37"/>
  <c r="H45" i="37"/>
  <c r="H36" i="37"/>
  <c r="G72" i="36"/>
  <c r="F74" i="36"/>
  <c r="B75" i="13"/>
  <c r="B47" i="36"/>
  <c r="D98" i="13"/>
  <c r="M77" i="35"/>
  <c r="D30" i="12"/>
  <c r="D101" i="12" s="1"/>
  <c r="K101" i="13"/>
  <c r="K85" i="13"/>
  <c r="O86" i="13" s="1"/>
  <c r="K103" i="13"/>
  <c r="K83" i="13"/>
  <c r="O84" i="13" s="1"/>
  <c r="K25" i="13"/>
  <c r="C105" i="4"/>
  <c r="H41" i="37"/>
  <c r="L32" i="37"/>
  <c r="C75" i="4"/>
  <c r="C106" i="4" s="1"/>
  <c r="B26" i="13"/>
  <c r="B28" i="13" s="1"/>
  <c r="I98" i="13"/>
  <c r="G26" i="13"/>
  <c r="G98" i="13" s="1"/>
  <c r="G25" i="13"/>
  <c r="G75" i="13"/>
  <c r="K76" i="13" s="1"/>
  <c r="H55" i="35"/>
  <c r="B79" i="13"/>
  <c r="E110" i="41"/>
  <c r="E112" i="41" s="1"/>
  <c r="C48" i="27"/>
  <c r="D279" i="17"/>
  <c r="D292" i="17" s="1"/>
  <c r="H285" i="17"/>
  <c r="I74" i="36"/>
  <c r="M74" i="36"/>
  <c r="H82" i="2"/>
  <c r="H66" i="2"/>
  <c r="H64" i="2"/>
  <c r="B110" i="41"/>
  <c r="B112" i="41" s="1"/>
  <c r="G24" i="8"/>
  <c r="G55" i="31"/>
  <c r="G57" i="31" s="1"/>
  <c r="G63" i="31" s="1"/>
  <c r="C34" i="4"/>
  <c r="E302" i="17"/>
  <c r="E307" i="17" s="1"/>
  <c r="E313" i="17" s="1"/>
  <c r="E58" i="27"/>
  <c r="E64" i="27" s="1"/>
  <c r="F60" i="17" s="1"/>
  <c r="B34" i="31"/>
  <c r="C81" i="13"/>
  <c r="C92" i="35"/>
  <c r="G112" i="41"/>
  <c r="F105" i="41"/>
  <c r="E290" i="17"/>
  <c r="I290" i="17"/>
  <c r="E50" i="17"/>
  <c r="B39" i="31"/>
  <c r="G34" i="41"/>
  <c r="G90" i="6"/>
  <c r="F64" i="13"/>
  <c r="B25" i="35"/>
  <c r="B74" i="35"/>
  <c r="B55" i="31"/>
  <c r="B57" i="31" s="1"/>
  <c r="B63" i="31" s="1"/>
  <c r="G34" i="31"/>
  <c r="J34" i="36"/>
  <c r="F290" i="17"/>
  <c r="B82" i="13"/>
  <c r="G39" i="31"/>
  <c r="F50" i="37"/>
  <c r="D133" i="6"/>
  <c r="C90" i="6"/>
  <c r="F90" i="6"/>
  <c r="H90" i="6"/>
  <c r="B254" i="6"/>
  <c r="J62" i="37"/>
  <c r="E86" i="41"/>
  <c r="E119" i="41"/>
  <c r="F83" i="6"/>
  <c r="I55" i="35"/>
  <c r="H37" i="11"/>
  <c r="I6" i="17" s="1"/>
  <c r="D92" i="35"/>
  <c r="D205" i="6"/>
  <c r="C58" i="41"/>
  <c r="I92" i="35"/>
  <c r="H144" i="6"/>
  <c r="H145" i="6" s="1"/>
  <c r="H163" i="6"/>
  <c r="H164" i="6" s="1"/>
  <c r="D68" i="37"/>
  <c r="H68" i="37"/>
  <c r="E3" i="25"/>
  <c r="B56" i="26"/>
  <c r="B132" i="6"/>
  <c r="B133" i="6" s="1"/>
  <c r="I146" i="17"/>
  <c r="E80" i="2"/>
  <c r="F149" i="17"/>
  <c r="E87" i="11"/>
  <c r="D6" i="17"/>
  <c r="C43" i="11"/>
  <c r="C45" i="11" s="1"/>
  <c r="C47" i="11" s="1"/>
  <c r="C107" i="11" s="1"/>
  <c r="D69" i="6"/>
  <c r="K123" i="41"/>
  <c r="K126" i="41" s="1"/>
  <c r="K125" i="41"/>
  <c r="K105" i="41"/>
  <c r="K92" i="41"/>
  <c r="K91" i="41"/>
  <c r="K99" i="41"/>
  <c r="C75" i="40"/>
  <c r="C68" i="40"/>
  <c r="C100" i="40"/>
  <c r="G211" i="17"/>
  <c r="G212" i="17" s="1"/>
  <c r="F82" i="2"/>
  <c r="E2" i="34"/>
  <c r="E2" i="13"/>
  <c r="E2" i="35"/>
  <c r="E2" i="41"/>
  <c r="E2" i="12"/>
  <c r="E2" i="36"/>
  <c r="F2" i="39"/>
  <c r="E2" i="31"/>
  <c r="E2" i="40"/>
  <c r="E2" i="30"/>
  <c r="E2" i="37"/>
  <c r="D75" i="40"/>
  <c r="D100" i="40"/>
  <c r="D68" i="40"/>
  <c r="E73" i="40"/>
  <c r="E120" i="40"/>
  <c r="E119" i="40"/>
  <c r="E86" i="40"/>
  <c r="G3" i="39"/>
  <c r="F3" i="34"/>
  <c r="F3" i="35" s="1"/>
  <c r="F3" i="36"/>
  <c r="F3" i="30"/>
  <c r="F3" i="41"/>
  <c r="F87" i="41" s="1"/>
  <c r="F3" i="37"/>
  <c r="F3" i="31"/>
  <c r="F3" i="40"/>
  <c r="F87" i="40" s="1"/>
  <c r="F3" i="13"/>
  <c r="F3" i="12"/>
  <c r="I27" i="38"/>
  <c r="D44" i="31"/>
  <c r="D46" i="31"/>
  <c r="B43" i="31"/>
  <c r="G43" i="31"/>
  <c r="C265" i="17"/>
  <c r="E58" i="41"/>
  <c r="F34" i="4"/>
  <c r="F100" i="4" s="1"/>
  <c r="E110" i="4"/>
  <c r="E112" i="4" s="1"/>
  <c r="I58" i="41"/>
  <c r="J47" i="36"/>
  <c r="C101" i="12"/>
  <c r="C103" i="12"/>
  <c r="C102" i="12"/>
  <c r="C37" i="12"/>
  <c r="C43" i="12" s="1"/>
  <c r="C45" i="12" s="1"/>
  <c r="C47" i="12" s="1"/>
  <c r="C85" i="12"/>
  <c r="C86" i="12" s="1"/>
  <c r="C83" i="12"/>
  <c r="C98" i="18"/>
  <c r="C130" i="18"/>
  <c r="B130" i="18"/>
  <c r="B98" i="18"/>
  <c r="E213" i="17"/>
  <c r="E214" i="17" s="1"/>
  <c r="B102" i="11"/>
  <c r="B103" i="11"/>
  <c r="B101" i="11"/>
  <c r="D28" i="2"/>
  <c r="D90" i="41" s="1"/>
  <c r="H85" i="11"/>
  <c r="I86" i="11" s="1"/>
  <c r="E82" i="2"/>
  <c r="I50" i="37"/>
  <c r="E50" i="37"/>
  <c r="J75" i="13"/>
  <c r="N76" i="13" s="1"/>
  <c r="J79" i="13"/>
  <c r="N80" i="13" s="1"/>
  <c r="B100" i="41"/>
  <c r="B58" i="41"/>
  <c r="B99" i="41"/>
  <c r="H105" i="4"/>
  <c r="H92" i="4"/>
  <c r="H91" i="4"/>
  <c r="E105" i="4"/>
  <c r="E92" i="4"/>
  <c r="E91" i="4"/>
  <c r="E48" i="27"/>
  <c r="F105" i="4"/>
  <c r="F92" i="4"/>
  <c r="F91" i="4"/>
  <c r="E26" i="8"/>
  <c r="E39" i="8"/>
  <c r="D65" i="27"/>
  <c r="H48" i="27"/>
  <c r="C92" i="8"/>
  <c r="E120" i="41"/>
  <c r="C89" i="8"/>
  <c r="D105" i="4"/>
  <c r="D92" i="4"/>
  <c r="D91" i="4"/>
  <c r="C24" i="8"/>
  <c r="C39" i="8"/>
  <c r="D36" i="17" s="1"/>
  <c r="C26" i="2"/>
  <c r="C87" i="4"/>
  <c r="C120" i="4"/>
  <c r="F65" i="27"/>
  <c r="G25" i="8"/>
  <c r="G39" i="8"/>
  <c r="H36" i="17" s="1"/>
  <c r="D64" i="27"/>
  <c r="E60" i="17" s="1"/>
  <c r="F48" i="27"/>
  <c r="C90" i="8"/>
  <c r="E90" i="8"/>
  <c r="B120" i="41"/>
  <c r="E99" i="4"/>
  <c r="E92" i="8"/>
  <c r="C88" i="8"/>
  <c r="G93" i="8"/>
  <c r="E91" i="8"/>
  <c r="C95" i="4"/>
  <c r="B22" i="8"/>
  <c r="B39" i="8"/>
  <c r="G106" i="4"/>
  <c r="G97" i="4"/>
  <c r="G96" i="4"/>
  <c r="G95" i="4"/>
  <c r="G94" i="4"/>
  <c r="G47" i="27"/>
  <c r="B105" i="4"/>
  <c r="B92" i="4"/>
  <c r="B91" i="4"/>
  <c r="B120" i="4"/>
  <c r="B87" i="4"/>
  <c r="B59" i="26"/>
  <c r="C60" i="26" s="1"/>
  <c r="C99" i="4"/>
  <c r="C100" i="4"/>
  <c r="E51" i="27"/>
  <c r="D48" i="27"/>
  <c r="E88" i="8"/>
  <c r="F92" i="8"/>
  <c r="F88" i="8"/>
  <c r="F90" i="8"/>
  <c r="G100" i="4"/>
  <c r="G99" i="4"/>
  <c r="H25" i="2"/>
  <c r="G120" i="4"/>
  <c r="G87" i="4"/>
  <c r="F25" i="8"/>
  <c r="F39" i="8"/>
  <c r="G36" i="17" s="1"/>
  <c r="G50" i="27"/>
  <c r="H51" i="27"/>
  <c r="F91" i="8"/>
  <c r="D93" i="8"/>
  <c r="D120" i="41"/>
  <c r="I42" i="31"/>
  <c r="I55" i="31"/>
  <c r="I57" i="31" s="1"/>
  <c r="I63" i="31" s="1"/>
  <c r="I39" i="31"/>
  <c r="C51" i="27"/>
  <c r="G51" i="27"/>
  <c r="G52" i="27"/>
  <c r="H64" i="27"/>
  <c r="I60" i="17" s="1"/>
  <c r="F51" i="27"/>
  <c r="B51" i="27"/>
  <c r="D51" i="27"/>
  <c r="C105" i="41"/>
  <c r="C92" i="41"/>
  <c r="C91" i="41"/>
  <c r="C75" i="41"/>
  <c r="C127" i="41"/>
  <c r="B106" i="41"/>
  <c r="B96" i="41"/>
  <c r="B95" i="41"/>
  <c r="B94" i="41"/>
  <c r="B128" i="41"/>
  <c r="I99" i="41"/>
  <c r="E92" i="41"/>
  <c r="E105" i="41"/>
  <c r="E91" i="41"/>
  <c r="I105" i="41"/>
  <c r="I91" i="41"/>
  <c r="I92" i="41"/>
  <c r="I127" i="41"/>
  <c r="C99" i="41"/>
  <c r="C100" i="41"/>
  <c r="E127" i="41"/>
  <c r="E99" i="41"/>
  <c r="G91" i="41"/>
  <c r="G105" i="41"/>
  <c r="G92" i="41"/>
  <c r="G127" i="41"/>
  <c r="J99" i="41"/>
  <c r="J92" i="41"/>
  <c r="J91" i="41"/>
  <c r="J105" i="41"/>
  <c r="F71" i="37"/>
  <c r="F72" i="37" s="1"/>
  <c r="G83" i="11"/>
  <c r="G85" i="11"/>
  <c r="G86" i="11" s="1"/>
  <c r="G37" i="11"/>
  <c r="J66" i="13"/>
  <c r="G74" i="36"/>
  <c r="K74" i="36"/>
  <c r="K66" i="40"/>
  <c r="J92" i="35"/>
  <c r="F39" i="37"/>
  <c r="H98" i="13"/>
  <c r="H28" i="13"/>
  <c r="H81" i="13"/>
  <c r="N213" i="17"/>
  <c r="N214" i="17" s="1"/>
  <c r="E37" i="12"/>
  <c r="E43" i="12" s="1"/>
  <c r="E45" i="12" s="1"/>
  <c r="E47" i="12" s="1"/>
  <c r="J37" i="12"/>
  <c r="J43" i="12" s="1"/>
  <c r="J45" i="12" s="1"/>
  <c r="J47" i="12" s="1"/>
  <c r="G99" i="12"/>
  <c r="G30" i="12"/>
  <c r="F33" i="37"/>
  <c r="F34" i="37" s="1"/>
  <c r="J32" i="37"/>
  <c r="F45" i="37"/>
  <c r="D74" i="36"/>
  <c r="H74" i="36"/>
  <c r="F40" i="37"/>
  <c r="F38" i="37"/>
  <c r="F46" i="37"/>
  <c r="F32" i="37"/>
  <c r="F43" i="37"/>
  <c r="F42" i="37"/>
  <c r="F44" i="37"/>
  <c r="F36" i="37"/>
  <c r="F41" i="37"/>
  <c r="D103" i="12"/>
  <c r="D102" i="12"/>
  <c r="D85" i="12"/>
  <c r="I37" i="12"/>
  <c r="I43" i="12" s="1"/>
  <c r="I45" i="12" s="1"/>
  <c r="I47" i="12" s="1"/>
  <c r="I42" i="17"/>
  <c r="I43" i="17" s="1"/>
  <c r="G42" i="17"/>
  <c r="D42" i="17"/>
  <c r="F80" i="2"/>
  <c r="H88" i="11"/>
  <c r="D85" i="11"/>
  <c r="D83" i="11"/>
  <c r="D37" i="11"/>
  <c r="E25" i="8"/>
  <c r="E22" i="8"/>
  <c r="B37" i="11"/>
  <c r="B83" i="11"/>
  <c r="B85" i="11"/>
  <c r="C86" i="11" s="1"/>
  <c r="J64" i="13"/>
  <c r="F34" i="8"/>
  <c r="C30" i="8"/>
  <c r="F30" i="8"/>
  <c r="F36" i="8"/>
  <c r="F3" i="8"/>
  <c r="F3" i="25"/>
  <c r="H7" i="6"/>
  <c r="H3" i="6"/>
  <c r="H13" i="6" s="1"/>
  <c r="I69" i="17" s="1"/>
  <c r="F66" i="2"/>
  <c r="F64" i="2"/>
  <c r="G3" i="24"/>
  <c r="G3" i="11"/>
  <c r="G3" i="19"/>
  <c r="G3" i="4"/>
  <c r="J23" i="38"/>
  <c r="G3" i="27"/>
  <c r="G3" i="18"/>
  <c r="G3" i="2"/>
  <c r="E62" i="37"/>
  <c r="I62" i="37"/>
  <c r="D60" i="37"/>
  <c r="H60" i="37"/>
  <c r="H92" i="35"/>
  <c r="I52" i="37"/>
  <c r="E52" i="37"/>
  <c r="E75" i="13"/>
  <c r="E79" i="13"/>
  <c r="E25" i="13"/>
  <c r="I25" i="13"/>
  <c r="E26" i="13"/>
  <c r="D38" i="37"/>
  <c r="D71" i="37"/>
  <c r="D44" i="37"/>
  <c r="D36" i="37"/>
  <c r="D32" i="37"/>
  <c r="D43" i="37"/>
  <c r="D42" i="37"/>
  <c r="H32" i="37"/>
  <c r="D33" i="37"/>
  <c r="D40" i="37"/>
  <c r="D37" i="37"/>
  <c r="D46" i="37"/>
  <c r="D39" i="37"/>
  <c r="D45" i="37"/>
  <c r="J33" i="37"/>
  <c r="J44" i="37"/>
  <c r="J36" i="37"/>
  <c r="J71" i="37"/>
  <c r="N72" i="37" s="1"/>
  <c r="J43" i="37"/>
  <c r="J39" i="37"/>
  <c r="J40" i="37"/>
  <c r="J45" i="37"/>
  <c r="J38" i="37"/>
  <c r="J46" i="37"/>
  <c r="D76" i="13"/>
  <c r="H76" i="13"/>
  <c r="D82" i="13"/>
  <c r="E20" i="37"/>
  <c r="E59" i="37"/>
  <c r="E31" i="37"/>
  <c r="I20" i="37"/>
  <c r="J26" i="13"/>
  <c r="J42" i="37"/>
  <c r="D80" i="13"/>
  <c r="H80" i="13"/>
  <c r="J41" i="37"/>
  <c r="I99" i="13"/>
  <c r="I30" i="13"/>
  <c r="G66" i="35"/>
  <c r="F92" i="35"/>
  <c r="F55" i="35"/>
  <c r="J55" i="35"/>
  <c r="D30" i="13"/>
  <c r="D99" i="13"/>
  <c r="G92" i="35"/>
  <c r="G80" i="13"/>
  <c r="F68" i="37"/>
  <c r="J68" i="37"/>
  <c r="C72" i="37"/>
  <c r="G72" i="37"/>
  <c r="C30" i="13"/>
  <c r="C99" i="13"/>
  <c r="J25" i="13"/>
  <c r="F25" i="13"/>
  <c r="M209" i="17"/>
  <c r="M211" i="17" s="1"/>
  <c r="M212" i="17" s="1"/>
  <c r="F79" i="13"/>
  <c r="F75" i="13"/>
  <c r="F26" i="13"/>
  <c r="C47" i="37"/>
  <c r="B47" i="37"/>
  <c r="F58" i="37"/>
  <c r="J58" i="37"/>
  <c r="F60" i="37"/>
  <c r="J60" i="37"/>
  <c r="F66" i="35"/>
  <c r="F77" i="35"/>
  <c r="C76" i="13"/>
  <c r="C82" i="13"/>
  <c r="E92" i="35"/>
  <c r="C34" i="37"/>
  <c r="C73" i="37"/>
  <c r="G34" i="37"/>
  <c r="D302" i="17"/>
  <c r="C58" i="27"/>
  <c r="E76" i="2"/>
  <c r="B20" i="26"/>
  <c r="M240" i="17"/>
  <c r="C36" i="8"/>
  <c r="F50" i="17"/>
  <c r="E28" i="2"/>
  <c r="E90" i="4" s="1"/>
  <c r="G64" i="2"/>
  <c r="C50" i="17"/>
  <c r="B28" i="2"/>
  <c r="B81" i="2"/>
  <c r="C51" i="17" s="1"/>
  <c r="C213" i="17"/>
  <c r="M237" i="17"/>
  <c r="B75" i="2"/>
  <c r="B82" i="2" s="1"/>
  <c r="B79" i="2"/>
  <c r="C209" i="17"/>
  <c r="C211" i="17" s="1"/>
  <c r="C212" i="17" s="1"/>
  <c r="M239" i="17"/>
  <c r="F28" i="2"/>
  <c r="F90" i="4" s="1"/>
  <c r="F81" i="2"/>
  <c r="G51" i="17" s="1"/>
  <c r="G50" i="17"/>
  <c r="G213" i="17"/>
  <c r="F26" i="8"/>
  <c r="F24" i="8"/>
  <c r="C26" i="8"/>
  <c r="B25" i="8"/>
  <c r="C25" i="8"/>
  <c r="G22" i="8"/>
  <c r="G30" i="8"/>
  <c r="H30" i="8"/>
  <c r="B24" i="8"/>
  <c r="M235" i="17"/>
  <c r="G26" i="8"/>
  <c r="G58" i="27"/>
  <c r="H302" i="17"/>
  <c r="F76" i="2"/>
  <c r="B26" i="8"/>
  <c r="M242" i="17"/>
  <c r="I307" i="17"/>
  <c r="I313" i="17" s="1"/>
  <c r="C25" i="2"/>
  <c r="D209" i="17"/>
  <c r="D211" i="17" s="1"/>
  <c r="D212" i="17" s="1"/>
  <c r="C75" i="2"/>
  <c r="C82" i="2" s="1"/>
  <c r="C79" i="2"/>
  <c r="B31" i="26"/>
  <c r="C32" i="26" s="1"/>
  <c r="D34" i="8"/>
  <c r="C34" i="8"/>
  <c r="H243" i="17"/>
  <c r="G302" i="17"/>
  <c r="F58" i="27"/>
  <c r="B58" i="27"/>
  <c r="C302" i="17"/>
  <c r="N237" i="17"/>
  <c r="N236" i="17"/>
  <c r="N242" i="17"/>
  <c r="N235" i="17"/>
  <c r="N240" i="17"/>
  <c r="N238" i="17"/>
  <c r="N241" i="17"/>
  <c r="M236" i="17"/>
  <c r="B52" i="8"/>
  <c r="C38" i="17" s="1"/>
  <c r="C129" i="17" s="1"/>
  <c r="B77" i="8"/>
  <c r="B78" i="8" s="1"/>
  <c r="B66" i="8"/>
  <c r="B67" i="8" s="1"/>
  <c r="G34" i="8"/>
  <c r="H34" i="8"/>
  <c r="F307" i="17"/>
  <c r="F313" i="17" s="1"/>
  <c r="G75" i="2"/>
  <c r="G25" i="2"/>
  <c r="H209" i="17"/>
  <c r="H211" i="17" s="1"/>
  <c r="H212" i="17" s="1"/>
  <c r="G79" i="2"/>
  <c r="G80" i="2" s="1"/>
  <c r="D38" i="17"/>
  <c r="C22" i="8"/>
  <c r="C64" i="2"/>
  <c r="C66" i="2"/>
  <c r="M241" i="17"/>
  <c r="M238" i="17"/>
  <c r="G26" i="2"/>
  <c r="G97" i="2" s="1"/>
  <c r="G66" i="2"/>
  <c r="G36" i="8"/>
  <c r="J58" i="41"/>
  <c r="J127" i="41"/>
  <c r="C285" i="17"/>
  <c r="C279" i="17"/>
  <c r="E285" i="17"/>
  <c r="E279" i="17"/>
  <c r="H58" i="17"/>
  <c r="G128" i="4"/>
  <c r="H110" i="4"/>
  <c r="H112" i="4" s="1"/>
  <c r="H34" i="4"/>
  <c r="I105" i="2" s="1"/>
  <c r="F265" i="17"/>
  <c r="H75" i="4"/>
  <c r="I106" i="2" s="1"/>
  <c r="H127" i="4"/>
  <c r="D58" i="17"/>
  <c r="B75" i="4"/>
  <c r="B52" i="27" s="1"/>
  <c r="B127" i="4"/>
  <c r="I285" i="17"/>
  <c r="I279" i="17"/>
  <c r="F75" i="4"/>
  <c r="F127" i="4"/>
  <c r="F112" i="4"/>
  <c r="I265" i="17"/>
  <c r="G285" i="17"/>
  <c r="G279" i="17"/>
  <c r="D34" i="4"/>
  <c r="D110" i="4"/>
  <c r="D112" i="4" s="1"/>
  <c r="E265" i="17"/>
  <c r="E266" i="17" s="1"/>
  <c r="B112" i="4"/>
  <c r="F279" i="17"/>
  <c r="F285" i="17"/>
  <c r="F11" i="17"/>
  <c r="F55" i="17"/>
  <c r="E68" i="4"/>
  <c r="E58" i="4"/>
  <c r="H55" i="17"/>
  <c r="H11" i="17"/>
  <c r="G58" i="4"/>
  <c r="G68" i="4"/>
  <c r="D75" i="4"/>
  <c r="D52" i="27" s="1"/>
  <c r="D127" i="4"/>
  <c r="E75" i="4"/>
  <c r="E127" i="4"/>
  <c r="H292" i="17"/>
  <c r="U43" i="17" l="1"/>
  <c r="B99" i="4"/>
  <c r="C52" i="27"/>
  <c r="F86" i="11"/>
  <c r="H133" i="6"/>
  <c r="D27" i="8"/>
  <c r="B68" i="4"/>
  <c r="C55" i="17"/>
  <c r="C11" i="17"/>
  <c r="B58" i="4"/>
  <c r="G47" i="37"/>
  <c r="B81" i="13"/>
  <c r="I66" i="35"/>
  <c r="K34" i="37"/>
  <c r="L34" i="37"/>
  <c r="H28" i="2"/>
  <c r="H90" i="4" s="1"/>
  <c r="E81" i="2"/>
  <c r="F51" i="17" s="1"/>
  <c r="I50" i="17"/>
  <c r="G65" i="8"/>
  <c r="I213" i="17"/>
  <c r="I266" i="17" s="1"/>
  <c r="E98" i="2"/>
  <c r="H98" i="2"/>
  <c r="F213" i="17"/>
  <c r="F301" i="17" s="1"/>
  <c r="F304" i="17" s="1"/>
  <c r="H81" i="2"/>
  <c r="I51" i="17" s="1"/>
  <c r="H84" i="11"/>
  <c r="G47" i="26"/>
  <c r="M34" i="37"/>
  <c r="I47" i="37"/>
  <c r="H77" i="35"/>
  <c r="H66" i="35"/>
  <c r="D78" i="8"/>
  <c r="B93" i="8"/>
  <c r="V42" i="17"/>
  <c r="W43" i="17" s="1"/>
  <c r="D53" i="8"/>
  <c r="G51" i="8"/>
  <c r="F42" i="17"/>
  <c r="F43" i="17" s="1"/>
  <c r="D47" i="26"/>
  <c r="D67" i="8"/>
  <c r="C83" i="6"/>
  <c r="H111" i="6"/>
  <c r="G13" i="39"/>
  <c r="E78" i="8"/>
  <c r="D65" i="8"/>
  <c r="C81" i="2"/>
  <c r="D51" i="17" s="1"/>
  <c r="C97" i="2"/>
  <c r="C65" i="27" s="1"/>
  <c r="G26" i="35"/>
  <c r="E53" i="8"/>
  <c r="B98" i="13"/>
  <c r="D37" i="12"/>
  <c r="D43" i="12" s="1"/>
  <c r="D45" i="12" s="1"/>
  <c r="D47" i="12" s="1"/>
  <c r="D83" i="12"/>
  <c r="D88" i="12" s="1"/>
  <c r="G81" i="13"/>
  <c r="G28" i="13"/>
  <c r="G99" i="13" s="1"/>
  <c r="C47" i="26"/>
  <c r="G67" i="8"/>
  <c r="D111" i="6"/>
  <c r="F26" i="35"/>
  <c r="H26" i="35"/>
  <c r="E67" i="8"/>
  <c r="H78" i="8"/>
  <c r="I78" i="8"/>
  <c r="F43" i="11"/>
  <c r="F45" i="11" s="1"/>
  <c r="F47" i="11" s="1"/>
  <c r="F107" i="11" s="1"/>
  <c r="G6" i="17"/>
  <c r="F78" i="8"/>
  <c r="H65" i="8"/>
  <c r="H71" i="26"/>
  <c r="H87" i="2" s="1"/>
  <c r="H33" i="26"/>
  <c r="H32" i="26"/>
  <c r="I32" i="26"/>
  <c r="H40" i="26"/>
  <c r="H44" i="26"/>
  <c r="H37" i="26"/>
  <c r="H36" i="26"/>
  <c r="H43" i="26"/>
  <c r="H38" i="26"/>
  <c r="H46" i="26"/>
  <c r="H39" i="26"/>
  <c r="H42" i="26"/>
  <c r="H45" i="26"/>
  <c r="F84" i="12"/>
  <c r="F88" i="12"/>
  <c r="F65" i="8"/>
  <c r="E47" i="26"/>
  <c r="G93" i="4"/>
  <c r="G98" i="2"/>
  <c r="G65" i="27"/>
  <c r="H67" i="8"/>
  <c r="I67" i="8"/>
  <c r="F84" i="11"/>
  <c r="F88" i="11"/>
  <c r="W53" i="17"/>
  <c r="E60" i="26"/>
  <c r="D34" i="26"/>
  <c r="C73" i="26"/>
  <c r="D74" i="26" s="1"/>
  <c r="F60" i="26"/>
  <c r="H76" i="8"/>
  <c r="G78" i="8"/>
  <c r="I86" i="12"/>
  <c r="M86" i="12"/>
  <c r="C67" i="8"/>
  <c r="D83" i="6"/>
  <c r="G102" i="12"/>
  <c r="G101" i="12"/>
  <c r="G103" i="12"/>
  <c r="G83" i="12"/>
  <c r="G85" i="12"/>
  <c r="J86" i="12"/>
  <c r="N86" i="12"/>
  <c r="F46" i="26"/>
  <c r="F32" i="26"/>
  <c r="F71" i="26"/>
  <c r="F33" i="26"/>
  <c r="F43" i="26"/>
  <c r="F38" i="26"/>
  <c r="F39" i="26"/>
  <c r="F37" i="26"/>
  <c r="F40" i="26"/>
  <c r="F36" i="26"/>
  <c r="F45" i="26"/>
  <c r="F44" i="26"/>
  <c r="F42" i="26"/>
  <c r="G32" i="26"/>
  <c r="G60" i="26"/>
  <c r="F53" i="8"/>
  <c r="G53" i="8"/>
  <c r="I84" i="12"/>
  <c r="I88" i="12"/>
  <c r="M84" i="12"/>
  <c r="H60" i="26"/>
  <c r="I60" i="26"/>
  <c r="E84" i="12"/>
  <c r="E88" i="12"/>
  <c r="D26" i="35"/>
  <c r="D72" i="26"/>
  <c r="C53" i="8"/>
  <c r="F51" i="8"/>
  <c r="D76" i="8"/>
  <c r="E72" i="26"/>
  <c r="H39" i="17"/>
  <c r="G54" i="6"/>
  <c r="G55" i="6" s="1"/>
  <c r="G68" i="6"/>
  <c r="G69" i="6" s="1"/>
  <c r="H53" i="8"/>
  <c r="I53" i="8"/>
  <c r="J88" i="12"/>
  <c r="J84" i="12"/>
  <c r="N84" i="12"/>
  <c r="F67" i="8"/>
  <c r="D51" i="8"/>
  <c r="H41" i="26"/>
  <c r="E26" i="35"/>
  <c r="H51" i="8"/>
  <c r="C78" i="8"/>
  <c r="F76" i="8"/>
  <c r="H101" i="12"/>
  <c r="H103" i="12"/>
  <c r="H102" i="12"/>
  <c r="H83" i="12"/>
  <c r="H85" i="12"/>
  <c r="L86" i="12" s="1"/>
  <c r="H37" i="12"/>
  <c r="H43" i="12" s="1"/>
  <c r="H45" i="12" s="1"/>
  <c r="H47" i="12" s="1"/>
  <c r="F55" i="6"/>
  <c r="E73" i="26"/>
  <c r="E74" i="26" s="1"/>
  <c r="E34" i="26"/>
  <c r="D86" i="12"/>
  <c r="G39" i="17"/>
  <c r="I38" i="17"/>
  <c r="E37" i="17"/>
  <c r="H43" i="17"/>
  <c r="D129" i="17"/>
  <c r="D39" i="17"/>
  <c r="I36" i="17"/>
  <c r="I40" i="8"/>
  <c r="E129" i="17"/>
  <c r="E39" i="17"/>
  <c r="F129" i="17"/>
  <c r="F39" i="17"/>
  <c r="H3" i="26"/>
  <c r="H3" i="24"/>
  <c r="H3" i="25" s="1"/>
  <c r="B60" i="26"/>
  <c r="D130" i="17"/>
  <c r="H130" i="17"/>
  <c r="H37" i="17"/>
  <c r="E245" i="17"/>
  <c r="E43" i="17"/>
  <c r="V41" i="17"/>
  <c r="W41" i="17"/>
  <c r="V43" i="17"/>
  <c r="G77" i="35"/>
  <c r="K88" i="13"/>
  <c r="J74" i="36"/>
  <c r="I77" i="35"/>
  <c r="H27" i="8"/>
  <c r="G129" i="17"/>
  <c r="E10" i="17"/>
  <c r="E40" i="17"/>
  <c r="H129" i="17"/>
  <c r="E40" i="8"/>
  <c r="F36" i="17"/>
  <c r="F37" i="17" s="1"/>
  <c r="S53" i="17"/>
  <c r="X53" i="17"/>
  <c r="B40" i="8"/>
  <c r="C36" i="17"/>
  <c r="D37" i="17" s="1"/>
  <c r="U53" i="17"/>
  <c r="G130" i="17"/>
  <c r="Y53" i="17"/>
  <c r="D128" i="41"/>
  <c r="D98" i="41" s="1"/>
  <c r="D106" i="41"/>
  <c r="J66" i="35"/>
  <c r="N66" i="35"/>
  <c r="J73" i="37"/>
  <c r="N74" i="37" s="1"/>
  <c r="N34" i="37"/>
  <c r="J77" i="35"/>
  <c r="N77" i="35"/>
  <c r="D95" i="41"/>
  <c r="D96" i="41"/>
  <c r="D97" i="41"/>
  <c r="F99" i="4"/>
  <c r="H58" i="4"/>
  <c r="G83" i="6"/>
  <c r="I3" i="6"/>
  <c r="I7" i="6"/>
  <c r="E68" i="41"/>
  <c r="E75" i="41"/>
  <c r="E93" i="41" s="1"/>
  <c r="D93" i="41"/>
  <c r="F120" i="41"/>
  <c r="B93" i="41"/>
  <c r="C97" i="41"/>
  <c r="C93" i="41"/>
  <c r="D97" i="40"/>
  <c r="D93" i="40"/>
  <c r="C97" i="40"/>
  <c r="C93" i="40"/>
  <c r="C96" i="4"/>
  <c r="C50" i="27"/>
  <c r="C47" i="27"/>
  <c r="C97" i="4"/>
  <c r="C128" i="4"/>
  <c r="C130" i="4" s="1"/>
  <c r="C94" i="4"/>
  <c r="H47" i="37"/>
  <c r="H43" i="11"/>
  <c r="H45" i="11" s="1"/>
  <c r="H47" i="11" s="1"/>
  <c r="H107" i="11" s="1"/>
  <c r="D129" i="4"/>
  <c r="F129" i="4"/>
  <c r="E129" i="4"/>
  <c r="D213" i="17"/>
  <c r="D214" i="17" s="1"/>
  <c r="G76" i="13"/>
  <c r="G82" i="13"/>
  <c r="F27" i="8"/>
  <c r="B129" i="4"/>
  <c r="G27" i="8"/>
  <c r="D294" i="17"/>
  <c r="E301" i="17"/>
  <c r="E304" i="17" s="1"/>
  <c r="G127" i="6"/>
  <c r="D55" i="17"/>
  <c r="D11" i="17"/>
  <c r="C58" i="4"/>
  <c r="C68" i="4"/>
  <c r="G11" i="17"/>
  <c r="G99" i="41"/>
  <c r="G58" i="41"/>
  <c r="G55" i="17"/>
  <c r="F68" i="4"/>
  <c r="D30" i="2"/>
  <c r="D37" i="2" s="1"/>
  <c r="D43" i="2" s="1"/>
  <c r="D45" i="2" s="1"/>
  <c r="D47" i="2" s="1"/>
  <c r="D107" i="2" s="1"/>
  <c r="F58" i="4"/>
  <c r="F133" i="6"/>
  <c r="G133" i="6"/>
  <c r="C133" i="6"/>
  <c r="D127" i="6"/>
  <c r="E127" i="6"/>
  <c r="D90" i="4"/>
  <c r="C94" i="40"/>
  <c r="C47" i="30"/>
  <c r="C95" i="40"/>
  <c r="C96" i="40"/>
  <c r="C106" i="40"/>
  <c r="C128" i="40"/>
  <c r="C98" i="40" s="1"/>
  <c r="D99" i="2"/>
  <c r="E27" i="8"/>
  <c r="D76" i="2"/>
  <c r="E93" i="8"/>
  <c r="F2" i="41"/>
  <c r="F2" i="12"/>
  <c r="F2" i="36"/>
  <c r="F2" i="31"/>
  <c r="F2" i="40"/>
  <c r="F2" i="35"/>
  <c r="F2" i="30"/>
  <c r="F2" i="37"/>
  <c r="G2" i="39"/>
  <c r="F2" i="34"/>
  <c r="F2" i="13"/>
  <c r="F73" i="41"/>
  <c r="F119" i="41"/>
  <c r="F86" i="41"/>
  <c r="G3" i="34"/>
  <c r="G3" i="35" s="1"/>
  <c r="H3" i="39"/>
  <c r="H13" i="39" s="1"/>
  <c r="G3" i="37"/>
  <c r="G3" i="12"/>
  <c r="G3" i="13"/>
  <c r="G3" i="31"/>
  <c r="G3" i="40"/>
  <c r="G87" i="40" s="1"/>
  <c r="G3" i="36"/>
  <c r="G3" i="30"/>
  <c r="G3" i="41"/>
  <c r="G87" i="41" s="1"/>
  <c r="J27" i="38"/>
  <c r="F73" i="40"/>
  <c r="F119" i="40"/>
  <c r="F86" i="40"/>
  <c r="F120" i="40"/>
  <c r="F45" i="30"/>
  <c r="D128" i="40"/>
  <c r="D98" i="40" s="1"/>
  <c r="D106" i="40"/>
  <c r="D95" i="40"/>
  <c r="D94" i="40"/>
  <c r="D47" i="30"/>
  <c r="D96" i="40"/>
  <c r="H22" i="6"/>
  <c r="E68" i="40"/>
  <c r="E100" i="40"/>
  <c r="E75" i="40"/>
  <c r="E46" i="31"/>
  <c r="E44" i="31"/>
  <c r="K123" i="40"/>
  <c r="K126" i="40" s="1"/>
  <c r="K105" i="40"/>
  <c r="K91" i="40"/>
  <c r="K99" i="40"/>
  <c r="K92" i="40"/>
  <c r="C84" i="12"/>
  <c r="C88" i="12"/>
  <c r="C28" i="2"/>
  <c r="C90" i="4" s="1"/>
  <c r="C93" i="4"/>
  <c r="D59" i="17" s="1"/>
  <c r="D50" i="17"/>
  <c r="J72" i="37"/>
  <c r="J80" i="13"/>
  <c r="J76" i="13"/>
  <c r="J82" i="13"/>
  <c r="J81" i="13"/>
  <c r="F106" i="4"/>
  <c r="F97" i="4"/>
  <c r="F93" i="4"/>
  <c r="G59" i="17" s="1"/>
  <c r="F96" i="4"/>
  <c r="F95" i="4"/>
  <c r="F94" i="4"/>
  <c r="F47" i="27"/>
  <c r="F50" i="27"/>
  <c r="H106" i="4"/>
  <c r="H97" i="4"/>
  <c r="H93" i="4"/>
  <c r="I59" i="17" s="1"/>
  <c r="H96" i="4"/>
  <c r="H95" i="4"/>
  <c r="H94" i="4"/>
  <c r="H47" i="27"/>
  <c r="H50" i="27"/>
  <c r="H52" i="27"/>
  <c r="G130" i="4"/>
  <c r="G98" i="4"/>
  <c r="F93" i="8"/>
  <c r="D106" i="4"/>
  <c r="D97" i="4"/>
  <c r="D93" i="4"/>
  <c r="E59" i="17" s="1"/>
  <c r="D96" i="4"/>
  <c r="D95" i="4"/>
  <c r="D94" i="4"/>
  <c r="D47" i="27"/>
  <c r="D50" i="27"/>
  <c r="H76" i="2"/>
  <c r="G82" i="2"/>
  <c r="C93" i="8"/>
  <c r="C98" i="2"/>
  <c r="B106" i="4"/>
  <c r="B97" i="4"/>
  <c r="B93" i="4"/>
  <c r="C59" i="17" s="1"/>
  <c r="B96" i="4"/>
  <c r="B95" i="4"/>
  <c r="B94" i="4"/>
  <c r="B47" i="27"/>
  <c r="B50" i="27"/>
  <c r="E106" i="4"/>
  <c r="E97" i="4"/>
  <c r="E93" i="4"/>
  <c r="F59" i="17" s="1"/>
  <c r="E96" i="4"/>
  <c r="E95" i="4"/>
  <c r="E94" i="4"/>
  <c r="E47" i="27"/>
  <c r="E50" i="27"/>
  <c r="E52" i="27"/>
  <c r="D100" i="4"/>
  <c r="D99" i="4"/>
  <c r="H99" i="4"/>
  <c r="H100" i="4"/>
  <c r="B71" i="26"/>
  <c r="C72" i="26" s="1"/>
  <c r="B44" i="26"/>
  <c r="B43" i="26"/>
  <c r="B46" i="26"/>
  <c r="B45" i="26"/>
  <c r="B42" i="26"/>
  <c r="B40" i="26"/>
  <c r="B36" i="26"/>
  <c r="B39" i="26"/>
  <c r="B37" i="26"/>
  <c r="B38" i="26"/>
  <c r="F90" i="41"/>
  <c r="F99" i="2"/>
  <c r="B90" i="41"/>
  <c r="B99" i="2"/>
  <c r="E90" i="41"/>
  <c r="E99" i="2"/>
  <c r="B98" i="41"/>
  <c r="F52" i="27"/>
  <c r="B41" i="26"/>
  <c r="B90" i="4"/>
  <c r="B64" i="27"/>
  <c r="C60" i="17" s="1"/>
  <c r="G64" i="27"/>
  <c r="H60" i="17" s="1"/>
  <c r="F64" i="27"/>
  <c r="G60" i="17" s="1"/>
  <c r="C64" i="27"/>
  <c r="D60" i="17" s="1"/>
  <c r="C106" i="41"/>
  <c r="C96" i="41"/>
  <c r="C95" i="41"/>
  <c r="C94" i="41"/>
  <c r="C128" i="41"/>
  <c r="C98" i="41" s="1"/>
  <c r="K125" i="40"/>
  <c r="F73" i="37"/>
  <c r="F74" i="37" s="1"/>
  <c r="H86" i="11"/>
  <c r="G43" i="11"/>
  <c r="G45" i="11" s="1"/>
  <c r="G47" i="11" s="1"/>
  <c r="G107" i="11" s="1"/>
  <c r="H6" i="17"/>
  <c r="G88" i="11"/>
  <c r="G84" i="11"/>
  <c r="C80" i="2"/>
  <c r="J34" i="37"/>
  <c r="J47" i="37"/>
  <c r="H99" i="13"/>
  <c r="H30" i="13"/>
  <c r="F47" i="37"/>
  <c r="G37" i="12"/>
  <c r="G43" i="12" s="1"/>
  <c r="G45" i="12" s="1"/>
  <c r="G47" i="12" s="1"/>
  <c r="D245" i="17"/>
  <c r="G245" i="17"/>
  <c r="I245" i="17"/>
  <c r="H80" i="2"/>
  <c r="D87" i="2"/>
  <c r="C6" i="17"/>
  <c r="B43" i="11"/>
  <c r="B45" i="11" s="1"/>
  <c r="B47" i="11" s="1"/>
  <c r="C27" i="8"/>
  <c r="B27" i="8"/>
  <c r="C84" i="11"/>
  <c r="B88" i="11"/>
  <c r="D43" i="11"/>
  <c r="D45" i="11" s="1"/>
  <c r="D47" i="11" s="1"/>
  <c r="D107" i="11" s="1"/>
  <c r="E6" i="17"/>
  <c r="D86" i="11"/>
  <c r="E86" i="11"/>
  <c r="H59" i="17"/>
  <c r="D84" i="11"/>
  <c r="D88" i="11"/>
  <c r="E84" i="11"/>
  <c r="G40" i="8"/>
  <c r="C40" i="8"/>
  <c r="G3" i="8"/>
  <c r="G3" i="25"/>
  <c r="H3" i="19"/>
  <c r="H3" i="2"/>
  <c r="H3" i="11"/>
  <c r="H3" i="4"/>
  <c r="H3" i="27"/>
  <c r="H3" i="18"/>
  <c r="K23" i="38"/>
  <c r="E60" i="37"/>
  <c r="I60" i="37"/>
  <c r="D47" i="37"/>
  <c r="E80" i="13"/>
  <c r="I80" i="13"/>
  <c r="I102" i="13"/>
  <c r="I37" i="13"/>
  <c r="I43" i="13" s="1"/>
  <c r="I45" i="13" s="1"/>
  <c r="I47" i="13" s="1"/>
  <c r="I101" i="13"/>
  <c r="I103" i="13"/>
  <c r="I85" i="13"/>
  <c r="M86" i="13" s="1"/>
  <c r="I83" i="13"/>
  <c r="J28" i="13"/>
  <c r="J98" i="13"/>
  <c r="E98" i="13"/>
  <c r="E28" i="13"/>
  <c r="E81" i="13"/>
  <c r="E82" i="13"/>
  <c r="I76" i="13"/>
  <c r="E76" i="13"/>
  <c r="D72" i="37"/>
  <c r="H72" i="37"/>
  <c r="E40" i="37"/>
  <c r="I32" i="37"/>
  <c r="E37" i="37"/>
  <c r="E46" i="37"/>
  <c r="E36" i="37"/>
  <c r="E32" i="37"/>
  <c r="E71" i="37"/>
  <c r="E45" i="37"/>
  <c r="E41" i="37"/>
  <c r="E38" i="37"/>
  <c r="E43" i="37"/>
  <c r="E39" i="37"/>
  <c r="E44" i="37"/>
  <c r="E33" i="37"/>
  <c r="E42" i="37"/>
  <c r="H34" i="37"/>
  <c r="D34" i="37"/>
  <c r="D73" i="37"/>
  <c r="D101" i="13"/>
  <c r="D85" i="13"/>
  <c r="D86" i="13" s="1"/>
  <c r="D83" i="13"/>
  <c r="D37" i="13"/>
  <c r="D43" i="13" s="1"/>
  <c r="D45" i="13" s="1"/>
  <c r="D47" i="13" s="1"/>
  <c r="D103" i="13"/>
  <c r="D102" i="13"/>
  <c r="F80" i="13"/>
  <c r="C102" i="13"/>
  <c r="C37" i="13"/>
  <c r="C43" i="13" s="1"/>
  <c r="C45" i="13" s="1"/>
  <c r="C47" i="13" s="1"/>
  <c r="C101" i="13"/>
  <c r="C103" i="13"/>
  <c r="C85" i="13"/>
  <c r="C86" i="13" s="1"/>
  <c r="C83" i="13"/>
  <c r="F76" i="13"/>
  <c r="F82" i="13"/>
  <c r="C74" i="37"/>
  <c r="G74" i="37"/>
  <c r="B30" i="13"/>
  <c r="B99" i="13"/>
  <c r="F81" i="13"/>
  <c r="F28" i="13"/>
  <c r="F98" i="13"/>
  <c r="M213" i="17"/>
  <c r="M214" i="17" s="1"/>
  <c r="N244" i="17"/>
  <c r="G307" i="17"/>
  <c r="G313" i="17" s="1"/>
  <c r="D80" i="2"/>
  <c r="B30" i="2"/>
  <c r="E30" i="2"/>
  <c r="C307" i="17"/>
  <c r="C313" i="17" s="1"/>
  <c r="B33" i="26"/>
  <c r="B73" i="26" s="1"/>
  <c r="B32" i="26"/>
  <c r="F40" i="8"/>
  <c r="D307" i="17"/>
  <c r="D313" i="17" s="1"/>
  <c r="G81" i="2"/>
  <c r="H51" i="17" s="1"/>
  <c r="G28" i="2"/>
  <c r="H50" i="17"/>
  <c r="H213" i="17"/>
  <c r="C87" i="2"/>
  <c r="D10" i="17"/>
  <c r="B53" i="8"/>
  <c r="H307" i="17"/>
  <c r="H313" i="17" s="1"/>
  <c r="G214" i="17"/>
  <c r="G301" i="17"/>
  <c r="G304" i="17" s="1"/>
  <c r="F30" i="2"/>
  <c r="C214" i="17"/>
  <c r="C301" i="17"/>
  <c r="C304" i="17" s="1"/>
  <c r="G266" i="17"/>
  <c r="H40" i="8"/>
  <c r="G76" i="2"/>
  <c r="C76" i="2"/>
  <c r="M244" i="17"/>
  <c r="D40" i="8"/>
  <c r="C266" i="17"/>
  <c r="F294" i="17"/>
  <c r="F292" i="17"/>
  <c r="E55" i="17"/>
  <c r="E11" i="17"/>
  <c r="D58" i="4"/>
  <c r="D68" i="4"/>
  <c r="G58" i="17"/>
  <c r="F128" i="4"/>
  <c r="H68" i="4"/>
  <c r="I11" i="17"/>
  <c r="I55" i="17"/>
  <c r="G292" i="17"/>
  <c r="G294" i="17"/>
  <c r="I294" i="17"/>
  <c r="I292" i="17"/>
  <c r="B128" i="4"/>
  <c r="C58" i="17"/>
  <c r="I58" i="17"/>
  <c r="H128" i="4"/>
  <c r="E294" i="17"/>
  <c r="E292" i="17"/>
  <c r="F58" i="17"/>
  <c r="E128" i="4"/>
  <c r="E58" i="17"/>
  <c r="D128" i="4"/>
  <c r="C294" i="17"/>
  <c r="C292" i="17"/>
  <c r="H30" i="2" l="1"/>
  <c r="I214" i="17"/>
  <c r="H90" i="41"/>
  <c r="H99" i="2"/>
  <c r="H129" i="4"/>
  <c r="I301" i="17"/>
  <c r="I304" i="17" s="1"/>
  <c r="D84" i="12"/>
  <c r="F266" i="17"/>
  <c r="F214" i="17"/>
  <c r="F245" i="17"/>
  <c r="G43" i="17"/>
  <c r="D301" i="17"/>
  <c r="D304" i="17" s="1"/>
  <c r="C98" i="4"/>
  <c r="G30" i="13"/>
  <c r="G103" i="13" s="1"/>
  <c r="H86" i="12"/>
  <c r="F47" i="26"/>
  <c r="I40" i="17"/>
  <c r="I244" i="17" s="1"/>
  <c r="I10" i="17"/>
  <c r="H88" i="12"/>
  <c r="L84" i="12"/>
  <c r="F72" i="26"/>
  <c r="G72" i="26"/>
  <c r="C74" i="26"/>
  <c r="H34" i="26"/>
  <c r="H73" i="26"/>
  <c r="I34" i="26"/>
  <c r="E106" i="2"/>
  <c r="E101" i="2"/>
  <c r="E102" i="2"/>
  <c r="E103" i="2"/>
  <c r="E105" i="2"/>
  <c r="D101" i="2"/>
  <c r="E53" i="17" s="1"/>
  <c r="D102" i="2"/>
  <c r="D103" i="2"/>
  <c r="D105" i="2"/>
  <c r="D106" i="2"/>
  <c r="I22" i="6"/>
  <c r="I23" i="6" s="1"/>
  <c r="I13" i="6"/>
  <c r="J69" i="17" s="1"/>
  <c r="H72" i="26"/>
  <c r="I72" i="26"/>
  <c r="F106" i="2"/>
  <c r="F101" i="2"/>
  <c r="F102" i="2"/>
  <c r="F103" i="2"/>
  <c r="F105" i="2"/>
  <c r="H101" i="2"/>
  <c r="H102" i="2"/>
  <c r="H103" i="2"/>
  <c r="H105" i="2"/>
  <c r="H106" i="2"/>
  <c r="H68" i="6"/>
  <c r="H54" i="6"/>
  <c r="H55" i="6" s="1"/>
  <c r="G86" i="12"/>
  <c r="K86" i="12"/>
  <c r="H47" i="26"/>
  <c r="F73" i="26"/>
  <c r="F34" i="26"/>
  <c r="G34" i="26"/>
  <c r="G84" i="12"/>
  <c r="G88" i="12"/>
  <c r="K84" i="12"/>
  <c r="H84" i="12"/>
  <c r="C34" i="26"/>
  <c r="I130" i="17"/>
  <c r="I37" i="17"/>
  <c r="L23" i="38"/>
  <c r="I3" i="24"/>
  <c r="I3" i="26"/>
  <c r="I129" i="17"/>
  <c r="I39" i="17"/>
  <c r="G37" i="17"/>
  <c r="G10" i="17"/>
  <c r="G40" i="17"/>
  <c r="D40" i="17"/>
  <c r="C130" i="17"/>
  <c r="F130" i="17"/>
  <c r="H10" i="17"/>
  <c r="H40" i="17"/>
  <c r="J3" i="6"/>
  <c r="M23" i="38" s="1"/>
  <c r="J7" i="6"/>
  <c r="E244" i="17"/>
  <c r="B72" i="26"/>
  <c r="C40" i="17"/>
  <c r="C244" i="17" s="1"/>
  <c r="B74" i="26"/>
  <c r="C42" i="17"/>
  <c r="D43" i="17" s="1"/>
  <c r="F40" i="17"/>
  <c r="F41" i="17" s="1"/>
  <c r="E95" i="41"/>
  <c r="I3" i="4"/>
  <c r="I3" i="11"/>
  <c r="I3" i="27"/>
  <c r="I3" i="19"/>
  <c r="I3" i="18"/>
  <c r="I3" i="2"/>
  <c r="E106" i="41"/>
  <c r="E96" i="41"/>
  <c r="E94" i="41"/>
  <c r="E128" i="41"/>
  <c r="E98" i="41" s="1"/>
  <c r="E97" i="41"/>
  <c r="I88" i="13"/>
  <c r="M84" i="13"/>
  <c r="E97" i="40"/>
  <c r="E93" i="40"/>
  <c r="E52" i="17"/>
  <c r="D85" i="2"/>
  <c r="D266" i="17"/>
  <c r="D83" i="2"/>
  <c r="D88" i="2" s="1"/>
  <c r="C99" i="2"/>
  <c r="F87" i="2"/>
  <c r="C30" i="2"/>
  <c r="C103" i="2" s="1"/>
  <c r="C90" i="41"/>
  <c r="C129" i="4"/>
  <c r="F75" i="40"/>
  <c r="F100" i="40"/>
  <c r="F68" i="40"/>
  <c r="G45" i="30"/>
  <c r="F44" i="31"/>
  <c r="F46" i="31"/>
  <c r="G73" i="40"/>
  <c r="G86" i="40"/>
  <c r="G119" i="40"/>
  <c r="G120" i="40"/>
  <c r="E106" i="40"/>
  <c r="E94" i="40"/>
  <c r="E47" i="30"/>
  <c r="E95" i="40"/>
  <c r="E96" i="40"/>
  <c r="E128" i="40"/>
  <c r="E98" i="40" s="1"/>
  <c r="H23" i="6"/>
  <c r="G73" i="41"/>
  <c r="G119" i="41"/>
  <c r="G86" i="41"/>
  <c r="G120" i="41"/>
  <c r="H3" i="34"/>
  <c r="H3" i="35" s="1"/>
  <c r="I3" i="39"/>
  <c r="I13" i="39" s="1"/>
  <c r="H3" i="31"/>
  <c r="H3" i="37"/>
  <c r="K27" i="38"/>
  <c r="H3" i="40"/>
  <c r="H87" i="40" s="1"/>
  <c r="H3" i="30"/>
  <c r="H3" i="13"/>
  <c r="H3" i="36"/>
  <c r="H3" i="41"/>
  <c r="H87" i="41" s="1"/>
  <c r="H3" i="12"/>
  <c r="F75" i="41"/>
  <c r="F100" i="41"/>
  <c r="F68" i="41"/>
  <c r="G2" i="31"/>
  <c r="G2" i="40"/>
  <c r="G2" i="30"/>
  <c r="G2" i="37"/>
  <c r="G2" i="34"/>
  <c r="G2" i="13"/>
  <c r="G2" i="35"/>
  <c r="G2" i="41"/>
  <c r="G2" i="12"/>
  <c r="G2" i="36"/>
  <c r="H2" i="39"/>
  <c r="J74" i="37"/>
  <c r="F10" i="17"/>
  <c r="G90" i="41"/>
  <c r="G99" i="2"/>
  <c r="G90" i="4"/>
  <c r="G129" i="4"/>
  <c r="E130" i="4"/>
  <c r="E98" i="4"/>
  <c r="B47" i="26"/>
  <c r="D130" i="4"/>
  <c r="D98" i="4"/>
  <c r="H130" i="4"/>
  <c r="H98" i="4"/>
  <c r="B103" i="2"/>
  <c r="B102" i="2"/>
  <c r="B101" i="2"/>
  <c r="C53" i="17" s="1"/>
  <c r="F130" i="4"/>
  <c r="F98" i="4"/>
  <c r="B130" i="4"/>
  <c r="B98" i="4"/>
  <c r="C10" i="17"/>
  <c r="H103" i="13"/>
  <c r="H101" i="13"/>
  <c r="H102" i="13"/>
  <c r="H37" i="13"/>
  <c r="H43" i="13" s="1"/>
  <c r="H45" i="13" s="1"/>
  <c r="H47" i="13" s="1"/>
  <c r="N216" i="17" s="1"/>
  <c r="N217" i="17" s="1"/>
  <c r="H85" i="13"/>
  <c r="H83" i="13"/>
  <c r="L84" i="13" s="1"/>
  <c r="E87" i="2"/>
  <c r="B87" i="2"/>
  <c r="H3" i="8"/>
  <c r="E72" i="37"/>
  <c r="I72" i="37"/>
  <c r="D74" i="37"/>
  <c r="H74" i="37"/>
  <c r="I34" i="37"/>
  <c r="E34" i="37"/>
  <c r="E73" i="37"/>
  <c r="E30" i="13"/>
  <c r="E99" i="13"/>
  <c r="E47" i="37"/>
  <c r="J30" i="13"/>
  <c r="J99" i="13"/>
  <c r="D84" i="13"/>
  <c r="D88" i="13"/>
  <c r="F99" i="13"/>
  <c r="F30" i="13"/>
  <c r="C84" i="13"/>
  <c r="C88" i="13"/>
  <c r="B102" i="13"/>
  <c r="B37" i="13"/>
  <c r="B43" i="13" s="1"/>
  <c r="B45" i="13" s="1"/>
  <c r="B47" i="13" s="1"/>
  <c r="B85" i="13"/>
  <c r="B103" i="13"/>
  <c r="B83" i="13"/>
  <c r="B88" i="13" s="1"/>
  <c r="B101" i="13"/>
  <c r="G52" i="17"/>
  <c r="F37" i="2"/>
  <c r="F43" i="2" s="1"/>
  <c r="F45" i="2" s="1"/>
  <c r="F47" i="2" s="1"/>
  <c r="F107" i="2" s="1"/>
  <c r="F85" i="2"/>
  <c r="F83" i="2"/>
  <c r="H214" i="17"/>
  <c r="H301" i="17"/>
  <c r="H304" i="17" s="1"/>
  <c r="H266" i="17"/>
  <c r="B37" i="2"/>
  <c r="B43" i="2" s="1"/>
  <c r="B45" i="2" s="1"/>
  <c r="B47" i="2" s="1"/>
  <c r="C216" i="17" s="1"/>
  <c r="C217" i="17" s="1"/>
  <c r="C52" i="17"/>
  <c r="B85" i="2"/>
  <c r="B83" i="2"/>
  <c r="B88" i="2" s="1"/>
  <c r="G30" i="2"/>
  <c r="H37" i="2"/>
  <c r="H43" i="2" s="1"/>
  <c r="H45" i="2" s="1"/>
  <c r="H47" i="2" s="1"/>
  <c r="H107" i="2" s="1"/>
  <c r="I52" i="17"/>
  <c r="H83" i="2"/>
  <c r="I84" i="2" s="1"/>
  <c r="H85" i="2"/>
  <c r="I86" i="2" s="1"/>
  <c r="E216" i="17"/>
  <c r="E217" i="17" s="1"/>
  <c r="B34" i="26"/>
  <c r="G87" i="2"/>
  <c r="F52" i="17"/>
  <c r="E37" i="2"/>
  <c r="E43" i="2" s="1"/>
  <c r="E45" i="2" s="1"/>
  <c r="E47" i="2" s="1"/>
  <c r="E107" i="2" s="1"/>
  <c r="E83" i="2"/>
  <c r="E85" i="2"/>
  <c r="K7" i="6" l="1"/>
  <c r="K3" i="6"/>
  <c r="N23" i="38" s="1"/>
  <c r="G101" i="13"/>
  <c r="G102" i="13"/>
  <c r="G37" i="13"/>
  <c r="G43" i="13" s="1"/>
  <c r="G45" i="13" s="1"/>
  <c r="G47" i="13" s="1"/>
  <c r="G83" i="13"/>
  <c r="K84" i="13" s="1"/>
  <c r="G85" i="13"/>
  <c r="K86" i="13" s="1"/>
  <c r="I68" i="6"/>
  <c r="I69" i="6" s="1"/>
  <c r="I54" i="6"/>
  <c r="I55" i="6" s="1"/>
  <c r="H74" i="26"/>
  <c r="I74" i="26"/>
  <c r="G106" i="2"/>
  <c r="G101" i="2"/>
  <c r="G102" i="2"/>
  <c r="G103" i="2"/>
  <c r="G105" i="2"/>
  <c r="J22" i="6"/>
  <c r="J13" i="6"/>
  <c r="K69" i="17" s="1"/>
  <c r="F74" i="26"/>
  <c r="G74" i="26"/>
  <c r="I3" i="8"/>
  <c r="I3" i="25"/>
  <c r="D41" i="17"/>
  <c r="G41" i="17"/>
  <c r="J3" i="26"/>
  <c r="J3" i="24"/>
  <c r="H41" i="17"/>
  <c r="I41" i="17"/>
  <c r="E41" i="17"/>
  <c r="C45" i="17"/>
  <c r="C46" i="17" s="1"/>
  <c r="S45" i="17"/>
  <c r="S46" i="17" s="1"/>
  <c r="E45" i="17"/>
  <c r="E46" i="17" s="1"/>
  <c r="U45" i="17"/>
  <c r="U46" i="17" s="1"/>
  <c r="C245" i="17"/>
  <c r="J3" i="27"/>
  <c r="J3" i="18"/>
  <c r="J3" i="11"/>
  <c r="J3" i="4"/>
  <c r="J3" i="19"/>
  <c r="J3" i="2"/>
  <c r="G244" i="17"/>
  <c r="H244" i="17"/>
  <c r="F244" i="17"/>
  <c r="D244" i="17"/>
  <c r="H86" i="13"/>
  <c r="L86" i="13"/>
  <c r="F97" i="41"/>
  <c r="F93" i="41"/>
  <c r="F97" i="40"/>
  <c r="F93" i="40"/>
  <c r="E86" i="2"/>
  <c r="C37" i="2"/>
  <c r="C43" i="2" s="1"/>
  <c r="C45" i="2" s="1"/>
  <c r="C47" i="2" s="1"/>
  <c r="C107" i="2" s="1"/>
  <c r="C83" i="2"/>
  <c r="D84" i="2" s="1"/>
  <c r="C105" i="2"/>
  <c r="C85" i="2"/>
  <c r="D86" i="2" s="1"/>
  <c r="C106" i="2"/>
  <c r="D52" i="17"/>
  <c r="C101" i="2"/>
  <c r="D53" i="17" s="1"/>
  <c r="C102" i="2"/>
  <c r="H73" i="41"/>
  <c r="H86" i="41"/>
  <c r="H119" i="41"/>
  <c r="H120" i="41"/>
  <c r="H73" i="40"/>
  <c r="H86" i="40"/>
  <c r="H119" i="40"/>
  <c r="H120" i="40"/>
  <c r="I3" i="34"/>
  <c r="I3" i="35" s="1"/>
  <c r="J3" i="39"/>
  <c r="J13" i="39" s="1"/>
  <c r="I3" i="41"/>
  <c r="I87" i="41" s="1"/>
  <c r="I3" i="36"/>
  <c r="L27" i="38"/>
  <c r="I3" i="30"/>
  <c r="I3" i="40"/>
  <c r="I87" i="40" s="1"/>
  <c r="I3" i="37"/>
  <c r="I3" i="13"/>
  <c r="I3" i="12"/>
  <c r="I3" i="31"/>
  <c r="G75" i="40"/>
  <c r="G100" i="40"/>
  <c r="G68" i="40"/>
  <c r="H2" i="30"/>
  <c r="H2" i="37"/>
  <c r="I2" i="39"/>
  <c r="H2" i="34"/>
  <c r="H2" i="13"/>
  <c r="H2" i="41"/>
  <c r="H2" i="12"/>
  <c r="H2" i="36"/>
  <c r="H2" i="31"/>
  <c r="H2" i="40"/>
  <c r="H2" i="35"/>
  <c r="F106" i="41"/>
  <c r="F94" i="41"/>
  <c r="F95" i="41"/>
  <c r="F96" i="41"/>
  <c r="F128" i="41"/>
  <c r="F98" i="41" s="1"/>
  <c r="G68" i="41"/>
  <c r="G100" i="41"/>
  <c r="G75" i="41"/>
  <c r="G44" i="31"/>
  <c r="G46" i="31"/>
  <c r="H45" i="30"/>
  <c r="H69" i="6"/>
  <c r="F106" i="40"/>
  <c r="F128" i="40"/>
  <c r="F98" i="40" s="1"/>
  <c r="F96" i="40"/>
  <c r="F95" i="40"/>
  <c r="F94" i="40"/>
  <c r="F47" i="30"/>
  <c r="J85" i="13"/>
  <c r="J83" i="13"/>
  <c r="N84" i="13" s="1"/>
  <c r="G86" i="13"/>
  <c r="H84" i="13"/>
  <c r="H88" i="13"/>
  <c r="E85" i="13"/>
  <c r="E37" i="13"/>
  <c r="E43" i="13" s="1"/>
  <c r="E45" i="13" s="1"/>
  <c r="E47" i="13" s="1"/>
  <c r="E102" i="13"/>
  <c r="E103" i="13"/>
  <c r="E101" i="13"/>
  <c r="E83" i="13"/>
  <c r="J103" i="13"/>
  <c r="J37" i="13"/>
  <c r="J43" i="13" s="1"/>
  <c r="J45" i="13" s="1"/>
  <c r="J47" i="13" s="1"/>
  <c r="J102" i="13"/>
  <c r="J101" i="13"/>
  <c r="I74" i="37"/>
  <c r="E74" i="37"/>
  <c r="F101" i="13"/>
  <c r="F103" i="13"/>
  <c r="F37" i="13"/>
  <c r="F43" i="13" s="1"/>
  <c r="F45" i="13" s="1"/>
  <c r="F47" i="13" s="1"/>
  <c r="F102" i="13"/>
  <c r="F83" i="13"/>
  <c r="F85" i="13"/>
  <c r="F53" i="17"/>
  <c r="H88" i="2"/>
  <c r="F216" i="17"/>
  <c r="F217" i="17" s="1"/>
  <c r="I216" i="17"/>
  <c r="I217" i="17" s="1"/>
  <c r="H52" i="17"/>
  <c r="G37" i="2"/>
  <c r="G43" i="2" s="1"/>
  <c r="G45" i="2" s="1"/>
  <c r="G47" i="2" s="1"/>
  <c r="G107" i="2" s="1"/>
  <c r="G85" i="2"/>
  <c r="G86" i="2" s="1"/>
  <c r="G83" i="2"/>
  <c r="F88" i="2"/>
  <c r="F84" i="2"/>
  <c r="G216" i="17"/>
  <c r="G217" i="17" s="1"/>
  <c r="F86" i="2"/>
  <c r="E84" i="2"/>
  <c r="E88" i="2"/>
  <c r="I53" i="17"/>
  <c r="G53" i="17"/>
  <c r="E184" i="17" l="1"/>
  <c r="K3" i="27"/>
  <c r="K3" i="19"/>
  <c r="K3" i="26"/>
  <c r="K13" i="6"/>
  <c r="K3" i="24"/>
  <c r="K3" i="2"/>
  <c r="K3" i="11"/>
  <c r="K3" i="4"/>
  <c r="K3" i="18"/>
  <c r="J23" i="6"/>
  <c r="K23" i="6"/>
  <c r="C86" i="2"/>
  <c r="C184" i="17"/>
  <c r="G88" i="13"/>
  <c r="G84" i="13"/>
  <c r="C84" i="2"/>
  <c r="J54" i="6"/>
  <c r="J68" i="6"/>
  <c r="J3" i="8"/>
  <c r="J3" i="25"/>
  <c r="F45" i="17"/>
  <c r="F46" i="17" s="1"/>
  <c r="V45" i="17"/>
  <c r="V46" i="17" s="1"/>
  <c r="G45" i="17"/>
  <c r="G46" i="17" s="1"/>
  <c r="W45" i="17"/>
  <c r="W46" i="17" s="1"/>
  <c r="I45" i="17"/>
  <c r="I46" i="17" s="1"/>
  <c r="Y45" i="17"/>
  <c r="Y46" i="17" s="1"/>
  <c r="N86" i="13"/>
  <c r="C88" i="2"/>
  <c r="G97" i="41"/>
  <c r="G93" i="41"/>
  <c r="G97" i="40"/>
  <c r="G93" i="40"/>
  <c r="D216" i="17"/>
  <c r="D217" i="17" s="1"/>
  <c r="I2" i="34"/>
  <c r="I2" i="13"/>
  <c r="I2" i="35"/>
  <c r="I2" i="41"/>
  <c r="I2" i="12"/>
  <c r="I2" i="36"/>
  <c r="J2" i="39"/>
  <c r="I2" i="31"/>
  <c r="I2" i="40"/>
  <c r="I2" i="30"/>
  <c r="I2" i="37"/>
  <c r="I73" i="40"/>
  <c r="I119" i="40"/>
  <c r="I86" i="40"/>
  <c r="I120" i="40"/>
  <c r="I73" i="41"/>
  <c r="I119" i="41"/>
  <c r="I86" i="41"/>
  <c r="I120" i="41"/>
  <c r="G96" i="40"/>
  <c r="G128" i="40"/>
  <c r="G98" i="40" s="1"/>
  <c r="G106" i="40"/>
  <c r="G95" i="40"/>
  <c r="G94" i="40"/>
  <c r="G47" i="30"/>
  <c r="I45" i="30"/>
  <c r="K3" i="39"/>
  <c r="K13" i="39" s="1"/>
  <c r="J3" i="34"/>
  <c r="J3" i="35" s="1"/>
  <c r="J3" i="31"/>
  <c r="J3" i="36"/>
  <c r="M27" i="38"/>
  <c r="J3" i="12"/>
  <c r="J3" i="41"/>
  <c r="J87" i="41" s="1"/>
  <c r="J3" i="37"/>
  <c r="J3" i="40"/>
  <c r="J87" i="40" s="1"/>
  <c r="J3" i="13"/>
  <c r="J3" i="30"/>
  <c r="G94" i="41"/>
  <c r="G106" i="41"/>
  <c r="G128" i="41"/>
  <c r="G98" i="41" s="1"/>
  <c r="G96" i="41"/>
  <c r="G95" i="41"/>
  <c r="H46" i="31"/>
  <c r="H44" i="31"/>
  <c r="H75" i="40"/>
  <c r="H100" i="40"/>
  <c r="H68" i="40"/>
  <c r="H68" i="41"/>
  <c r="H100" i="41"/>
  <c r="H75" i="41"/>
  <c r="J84" i="13"/>
  <c r="J88" i="13"/>
  <c r="J86" i="13"/>
  <c r="H86" i="2"/>
  <c r="M216" i="17"/>
  <c r="M217" i="17" s="1"/>
  <c r="I84" i="13"/>
  <c r="E84" i="13"/>
  <c r="E88" i="13"/>
  <c r="I86" i="13"/>
  <c r="E86" i="13"/>
  <c r="F86" i="13"/>
  <c r="F84" i="13"/>
  <c r="F88" i="13"/>
  <c r="H216" i="17"/>
  <c r="H217" i="17" s="1"/>
  <c r="G84" i="2"/>
  <c r="G88" i="2"/>
  <c r="I184" i="17"/>
  <c r="H53" i="17"/>
  <c r="H84" i="2"/>
  <c r="J55" i="6" l="1"/>
  <c r="K55" i="6"/>
  <c r="J69" i="6"/>
  <c r="K69" i="6"/>
  <c r="K3" i="25"/>
  <c r="K3" i="8"/>
  <c r="F184" i="17"/>
  <c r="G184" i="17"/>
  <c r="D45" i="17"/>
  <c r="D46" i="17" s="1"/>
  <c r="T45" i="17"/>
  <c r="T46" i="17" s="1"/>
  <c r="H45" i="17"/>
  <c r="H46" i="17" s="1"/>
  <c r="X45" i="17"/>
  <c r="X46" i="17" s="1"/>
  <c r="H93" i="41"/>
  <c r="H97" i="41"/>
  <c r="H97" i="40"/>
  <c r="H93" i="40"/>
  <c r="H95" i="40"/>
  <c r="H96" i="40"/>
  <c r="H106" i="40"/>
  <c r="H128" i="40"/>
  <c r="H98" i="40" s="1"/>
  <c r="H94" i="40"/>
  <c r="H47" i="30"/>
  <c r="J73" i="40"/>
  <c r="J119" i="40"/>
  <c r="J86" i="40"/>
  <c r="J120" i="40"/>
  <c r="K3" i="41"/>
  <c r="K87" i="41" s="1"/>
  <c r="K3" i="13"/>
  <c r="K3" i="36"/>
  <c r="K3" i="31"/>
  <c r="K3" i="40"/>
  <c r="K87" i="40" s="1"/>
  <c r="K3" i="34"/>
  <c r="K3" i="35" s="1"/>
  <c r="K3" i="12"/>
  <c r="K3" i="37"/>
  <c r="K3" i="30"/>
  <c r="N27" i="38"/>
  <c r="L3" i="39"/>
  <c r="I75" i="40"/>
  <c r="I68" i="40"/>
  <c r="I100" i="40"/>
  <c r="I46" i="31"/>
  <c r="I44" i="31"/>
  <c r="I100" i="41"/>
  <c r="I75" i="41"/>
  <c r="I68" i="41"/>
  <c r="J2" i="41"/>
  <c r="J2" i="12"/>
  <c r="J2" i="36"/>
  <c r="J2" i="31"/>
  <c r="J2" i="40"/>
  <c r="J2" i="35"/>
  <c r="J2" i="30"/>
  <c r="J2" i="37"/>
  <c r="K2" i="39"/>
  <c r="J2" i="34"/>
  <c r="J2" i="13"/>
  <c r="J45" i="30"/>
  <c r="J73" i="41"/>
  <c r="J119" i="41"/>
  <c r="J86" i="41"/>
  <c r="J120" i="41"/>
  <c r="H95" i="41"/>
  <c r="H96" i="41"/>
  <c r="H128" i="41"/>
  <c r="H98" i="41" s="1"/>
  <c r="H106" i="41"/>
  <c r="H94" i="41"/>
  <c r="H184" i="17" l="1"/>
  <c r="L3" i="41"/>
  <c r="L120" i="41" s="1"/>
  <c r="L13" i="39"/>
  <c r="D184" i="17"/>
  <c r="L3" i="40"/>
  <c r="L3" i="12"/>
  <c r="L3" i="31"/>
  <c r="L3" i="30"/>
  <c r="L3" i="13"/>
  <c r="I93" i="41"/>
  <c r="I97" i="41"/>
  <c r="I97" i="40"/>
  <c r="I93" i="40"/>
  <c r="M3" i="39"/>
  <c r="M13" i="39" s="1"/>
  <c r="O27" i="38"/>
  <c r="L3" i="37"/>
  <c r="L3" i="34"/>
  <c r="L3" i="35" s="1"/>
  <c r="L3" i="36"/>
  <c r="J68" i="41"/>
  <c r="J75" i="41"/>
  <c r="J100" i="41"/>
  <c r="K45" i="30"/>
  <c r="K73" i="40"/>
  <c r="K119" i="40"/>
  <c r="K86" i="40"/>
  <c r="K120" i="40"/>
  <c r="K73" i="41"/>
  <c r="K86" i="41"/>
  <c r="K119" i="41"/>
  <c r="K120" i="41"/>
  <c r="K2" i="41"/>
  <c r="K2" i="37"/>
  <c r="K2" i="35"/>
  <c r="K2" i="31"/>
  <c r="K2" i="40"/>
  <c r="K2" i="13"/>
  <c r="K2" i="30"/>
  <c r="K2" i="36"/>
  <c r="K2" i="34"/>
  <c r="K2" i="12"/>
  <c r="L2" i="39"/>
  <c r="L2" i="41" s="1"/>
  <c r="I106" i="40"/>
  <c r="I128" i="40"/>
  <c r="I98" i="40" s="1"/>
  <c r="I96" i="40"/>
  <c r="I94" i="40"/>
  <c r="I95" i="40"/>
  <c r="I47" i="30"/>
  <c r="J44" i="31"/>
  <c r="J46" i="31"/>
  <c r="I106" i="41"/>
  <c r="I128" i="41"/>
  <c r="I98" i="41" s="1"/>
  <c r="I95" i="41"/>
  <c r="I94" i="41"/>
  <c r="I96" i="41"/>
  <c r="J75" i="40"/>
  <c r="J100" i="40"/>
  <c r="J68" i="40"/>
  <c r="L86" i="41" l="1"/>
  <c r="L119" i="41"/>
  <c r="L87" i="41"/>
  <c r="L73" i="41"/>
  <c r="L68" i="41" s="1"/>
  <c r="M3" i="41"/>
  <c r="N3" i="39"/>
  <c r="N13" i="39" s="1"/>
  <c r="L45" i="30"/>
  <c r="L2" i="31"/>
  <c r="L2" i="30"/>
  <c r="L2" i="13"/>
  <c r="L2" i="12"/>
  <c r="L2" i="40"/>
  <c r="M3" i="13"/>
  <c r="M3" i="12"/>
  <c r="M3" i="40"/>
  <c r="M3" i="31"/>
  <c r="M3" i="30"/>
  <c r="L73" i="40"/>
  <c r="L87" i="40"/>
  <c r="L119" i="40"/>
  <c r="L86" i="40"/>
  <c r="L120" i="40"/>
  <c r="J97" i="41"/>
  <c r="J93" i="41"/>
  <c r="J97" i="40"/>
  <c r="J93" i="40"/>
  <c r="M2" i="39"/>
  <c r="L2" i="36"/>
  <c r="L2" i="35"/>
  <c r="L2" i="37"/>
  <c r="L2" i="34"/>
  <c r="P27" i="38"/>
  <c r="M3" i="37"/>
  <c r="M3" i="34"/>
  <c r="M3" i="35" s="1"/>
  <c r="M3" i="36"/>
  <c r="K75" i="41"/>
  <c r="K100" i="41"/>
  <c r="K68" i="41"/>
  <c r="K75" i="40"/>
  <c r="K68" i="40"/>
  <c r="K100" i="40"/>
  <c r="J95" i="41"/>
  <c r="J106" i="41"/>
  <c r="J96" i="41"/>
  <c r="J128" i="41"/>
  <c r="J98" i="41" s="1"/>
  <c r="J94" i="41"/>
  <c r="J95" i="40"/>
  <c r="J106" i="40"/>
  <c r="J128" i="40"/>
  <c r="J98" i="40" s="1"/>
  <c r="J96" i="40"/>
  <c r="J94" i="40"/>
  <c r="J47" i="30"/>
  <c r="K44" i="31"/>
  <c r="K46" i="31"/>
  <c r="L100" i="41" l="1"/>
  <c r="L75" i="41"/>
  <c r="L128" i="41" s="1"/>
  <c r="L98" i="41" s="1"/>
  <c r="M2" i="41"/>
  <c r="N2" i="39"/>
  <c r="O3" i="39"/>
  <c r="O13" i="39" s="1"/>
  <c r="N3" i="40"/>
  <c r="N3" i="13"/>
  <c r="N3" i="37"/>
  <c r="N3" i="34"/>
  <c r="N3" i="35" s="1"/>
  <c r="N3" i="31"/>
  <c r="N3" i="30"/>
  <c r="N3" i="41"/>
  <c r="N3" i="12"/>
  <c r="N3" i="36"/>
  <c r="Q27" i="38"/>
  <c r="M73" i="41"/>
  <c r="M119" i="41"/>
  <c r="M86" i="41"/>
  <c r="M120" i="41"/>
  <c r="M87" i="41"/>
  <c r="M45" i="30"/>
  <c r="L44" i="31"/>
  <c r="L46" i="31"/>
  <c r="M73" i="40"/>
  <c r="M87" i="40"/>
  <c r="M119" i="40"/>
  <c r="M120" i="40"/>
  <c r="M86" i="40"/>
  <c r="M2" i="31"/>
  <c r="M2" i="30"/>
  <c r="M2" i="13"/>
  <c r="M2" i="12"/>
  <c r="M2" i="40"/>
  <c r="L68" i="40"/>
  <c r="L75" i="40"/>
  <c r="L100" i="40"/>
  <c r="K97" i="41"/>
  <c r="K93" i="41"/>
  <c r="K97" i="40"/>
  <c r="K93" i="40"/>
  <c r="M2" i="34"/>
  <c r="M2" i="36"/>
  <c r="M2" i="35"/>
  <c r="M2" i="37"/>
  <c r="K128" i="40"/>
  <c r="K98" i="40" s="1"/>
  <c r="K106" i="40"/>
  <c r="K96" i="40"/>
  <c r="K95" i="40"/>
  <c r="K94" i="40"/>
  <c r="K47" i="30"/>
  <c r="K95" i="41"/>
  <c r="K128" i="41"/>
  <c r="K98" i="41" s="1"/>
  <c r="K96" i="41"/>
  <c r="K106" i="41"/>
  <c r="K94" i="41"/>
  <c r="L93" i="41" l="1"/>
  <c r="L94" i="41"/>
  <c r="L106" i="41"/>
  <c r="L97" i="41"/>
  <c r="L96" i="41"/>
  <c r="L95" i="41"/>
  <c r="N45" i="30"/>
  <c r="N73" i="40"/>
  <c r="N87" i="40"/>
  <c r="N120" i="40"/>
  <c r="N119" i="40"/>
  <c r="N86" i="40"/>
  <c r="O3" i="40"/>
  <c r="O3" i="13"/>
  <c r="O3" i="37"/>
  <c r="O3" i="34"/>
  <c r="O3" i="35" s="1"/>
  <c r="O3" i="41"/>
  <c r="O3" i="12"/>
  <c r="O3" i="36"/>
  <c r="O3" i="31"/>
  <c r="O3" i="30"/>
  <c r="P3" i="39"/>
  <c r="P13" i="39" s="1"/>
  <c r="R27" i="38"/>
  <c r="O2" i="39"/>
  <c r="N2" i="31"/>
  <c r="N2" i="37"/>
  <c r="N2" i="12"/>
  <c r="N2" i="34"/>
  <c r="N2" i="41"/>
  <c r="N2" i="36"/>
  <c r="N2" i="30"/>
  <c r="N2" i="13"/>
  <c r="N2" i="35"/>
  <c r="N2" i="40"/>
  <c r="M68" i="41"/>
  <c r="M75" i="41"/>
  <c r="M100" i="41"/>
  <c r="N73" i="41"/>
  <c r="N86" i="41"/>
  <c r="N119" i="41"/>
  <c r="N120" i="41"/>
  <c r="N87" i="41"/>
  <c r="L128" i="40"/>
  <c r="L98" i="40" s="1"/>
  <c r="L96" i="40"/>
  <c r="L95" i="40"/>
  <c r="L94" i="40"/>
  <c r="L106" i="40"/>
  <c r="L47" i="30"/>
  <c r="L93" i="40"/>
  <c r="L97" i="40"/>
  <c r="M100" i="40"/>
  <c r="M68" i="40"/>
  <c r="M75" i="40"/>
  <c r="M44" i="31"/>
  <c r="M46" i="31"/>
  <c r="P3" i="31" l="1"/>
  <c r="P3" i="30"/>
  <c r="P45" i="30" s="1"/>
  <c r="P3" i="41"/>
  <c r="P3" i="12"/>
  <c r="P3" i="36"/>
  <c r="P3" i="40"/>
  <c r="P3" i="13"/>
  <c r="P3" i="37"/>
  <c r="P3" i="34"/>
  <c r="P3" i="35" s="1"/>
  <c r="S27" i="38"/>
  <c r="Q3" i="39"/>
  <c r="Q13" i="39" s="1"/>
  <c r="N75" i="41"/>
  <c r="N68" i="41"/>
  <c r="N100" i="41"/>
  <c r="O45" i="30"/>
  <c r="O73" i="41"/>
  <c r="O87" i="41"/>
  <c r="O120" i="41"/>
  <c r="O86" i="41"/>
  <c r="O119" i="41"/>
  <c r="O86" i="40"/>
  <c r="O119" i="40"/>
  <c r="O73" i="40"/>
  <c r="O87" i="40"/>
  <c r="O120" i="40"/>
  <c r="N68" i="40"/>
  <c r="N100" i="40"/>
  <c r="N75" i="40"/>
  <c r="N44" i="31"/>
  <c r="N46" i="31"/>
  <c r="M94" i="41"/>
  <c r="M128" i="41"/>
  <c r="M98" i="41" s="1"/>
  <c r="M96" i="41"/>
  <c r="M95" i="41"/>
  <c r="M106" i="41"/>
  <c r="M97" i="41"/>
  <c r="M93" i="41"/>
  <c r="P2" i="39"/>
  <c r="O2" i="30"/>
  <c r="O2" i="40"/>
  <c r="O2" i="13"/>
  <c r="O2" i="35"/>
  <c r="O2" i="31"/>
  <c r="O2" i="37"/>
  <c r="O2" i="12"/>
  <c r="O2" i="34"/>
  <c r="O2" i="36"/>
  <c r="O2" i="41"/>
  <c r="M95" i="40"/>
  <c r="M106" i="40"/>
  <c r="M94" i="40"/>
  <c r="M128" i="40"/>
  <c r="M98" i="40" s="1"/>
  <c r="M96" i="40"/>
  <c r="M93" i="40"/>
  <c r="M47" i="30"/>
  <c r="M97" i="40"/>
  <c r="O44" i="31" l="1"/>
  <c r="O46" i="31"/>
  <c r="Q2" i="39"/>
  <c r="P2" i="41"/>
  <c r="P2" i="36"/>
  <c r="P2" i="30"/>
  <c r="P2" i="40"/>
  <c r="P2" i="13"/>
  <c r="P2" i="35"/>
  <c r="P2" i="31"/>
  <c r="P2" i="37"/>
  <c r="P2" i="12"/>
  <c r="P2" i="34"/>
  <c r="O68" i="40"/>
  <c r="O100" i="40"/>
  <c r="O75" i="40"/>
  <c r="Q3" i="34"/>
  <c r="Q3" i="35" s="1"/>
  <c r="Q3" i="31"/>
  <c r="Q3" i="30"/>
  <c r="Q3" i="41"/>
  <c r="Q3" i="12"/>
  <c r="Q3" i="36"/>
  <c r="Q3" i="40"/>
  <c r="Q3" i="37"/>
  <c r="Q3" i="13"/>
  <c r="T27" i="38"/>
  <c r="R3" i="39"/>
  <c r="P86" i="41"/>
  <c r="P73" i="41"/>
  <c r="P119" i="41"/>
  <c r="P120" i="41"/>
  <c r="P87" i="41"/>
  <c r="O75" i="41"/>
  <c r="O100" i="41"/>
  <c r="O68" i="41"/>
  <c r="P86" i="40"/>
  <c r="P119" i="40"/>
  <c r="P73" i="40"/>
  <c r="P87" i="40"/>
  <c r="P120" i="40"/>
  <c r="N95" i="40"/>
  <c r="N94" i="40"/>
  <c r="N106" i="40"/>
  <c r="N96" i="40"/>
  <c r="N128" i="40"/>
  <c r="N98" i="40" s="1"/>
  <c r="N97" i="40"/>
  <c r="N47" i="30"/>
  <c r="N93" i="40"/>
  <c r="N94" i="41"/>
  <c r="N128" i="41"/>
  <c r="N98" i="41" s="1"/>
  <c r="N95" i="41"/>
  <c r="N106" i="41"/>
  <c r="N96" i="41"/>
  <c r="N93" i="41"/>
  <c r="N97" i="41"/>
  <c r="R3" i="41" l="1"/>
  <c r="R3" i="37"/>
  <c r="R3" i="34"/>
  <c r="R3" i="35" s="1"/>
  <c r="R87" i="41"/>
  <c r="R119" i="41"/>
  <c r="R73" i="41"/>
  <c r="R120" i="41"/>
  <c r="R86" i="41"/>
  <c r="S3" i="39"/>
  <c r="R13" i="39"/>
  <c r="P68" i="41"/>
  <c r="P75" i="41"/>
  <c r="P100" i="41"/>
  <c r="Q73" i="41"/>
  <c r="Q119" i="41"/>
  <c r="Q86" i="41"/>
  <c r="Q120" i="41"/>
  <c r="Q87" i="41"/>
  <c r="O96" i="40"/>
  <c r="O95" i="40"/>
  <c r="O94" i="40"/>
  <c r="O106" i="40"/>
  <c r="O128" i="40"/>
  <c r="O98" i="40" s="1"/>
  <c r="O47" i="30"/>
  <c r="O97" i="40"/>
  <c r="O93" i="40"/>
  <c r="P68" i="40"/>
  <c r="P75" i="40"/>
  <c r="P100" i="40"/>
  <c r="U27" i="38"/>
  <c r="R3" i="40"/>
  <c r="R3" i="13"/>
  <c r="R3" i="31"/>
  <c r="R3" i="30"/>
  <c r="R45" i="30" s="1"/>
  <c r="R3" i="12"/>
  <c r="R3" i="36"/>
  <c r="Q86" i="40"/>
  <c r="Q119" i="40"/>
  <c r="Q73" i="40"/>
  <c r="Q87" i="40"/>
  <c r="Q120" i="40"/>
  <c r="Q45" i="30"/>
  <c r="R2" i="39"/>
  <c r="Q2" i="12"/>
  <c r="Q2" i="34"/>
  <c r="Q2" i="41"/>
  <c r="Q2" i="36"/>
  <c r="Q2" i="30"/>
  <c r="Q2" i="40"/>
  <c r="Q2" i="13"/>
  <c r="Q2" i="35"/>
  <c r="Q2" i="31"/>
  <c r="Q2" i="37"/>
  <c r="O95" i="41"/>
  <c r="O106" i="41"/>
  <c r="O96" i="41"/>
  <c r="O128" i="41"/>
  <c r="O98" i="41" s="1"/>
  <c r="O94" i="41"/>
  <c r="O97" i="41"/>
  <c r="O93" i="41"/>
  <c r="P44" i="31"/>
  <c r="P46" i="31"/>
  <c r="R2" i="37" l="1"/>
  <c r="R2" i="35"/>
  <c r="R2" i="34"/>
  <c r="S3" i="37"/>
  <c r="S3" i="34"/>
  <c r="S3" i="35" s="1"/>
  <c r="S3" i="41"/>
  <c r="S3" i="40"/>
  <c r="V27" i="38"/>
  <c r="S3" i="13"/>
  <c r="S3" i="12"/>
  <c r="R75" i="41"/>
  <c r="R100" i="41"/>
  <c r="R68" i="41"/>
  <c r="S2" i="39"/>
  <c r="R2" i="41"/>
  <c r="T3" i="39"/>
  <c r="S13" i="39"/>
  <c r="S3" i="31"/>
  <c r="S3" i="36"/>
  <c r="S3" i="30"/>
  <c r="Q68" i="40"/>
  <c r="Q75" i="40"/>
  <c r="Q100" i="40"/>
  <c r="R87" i="40"/>
  <c r="R120" i="40"/>
  <c r="R86" i="40"/>
  <c r="R119" i="40"/>
  <c r="Q44" i="31"/>
  <c r="Q46" i="31"/>
  <c r="P47" i="30"/>
  <c r="P94" i="40"/>
  <c r="P106" i="40"/>
  <c r="P95" i="40"/>
  <c r="P128" i="40"/>
  <c r="P98" i="40" s="1"/>
  <c r="P96" i="40"/>
  <c r="P97" i="40"/>
  <c r="P93" i="40"/>
  <c r="Q68" i="41"/>
  <c r="Q100" i="41"/>
  <c r="Q75" i="41"/>
  <c r="R2" i="31"/>
  <c r="R2" i="12"/>
  <c r="R2" i="36"/>
  <c r="R2" i="30"/>
  <c r="R2" i="13"/>
  <c r="R2" i="40"/>
  <c r="P94" i="41"/>
  <c r="P106" i="41"/>
  <c r="P128" i="41"/>
  <c r="P98" i="41" s="1"/>
  <c r="P95" i="41"/>
  <c r="P96" i="41"/>
  <c r="P97" i="41"/>
  <c r="P93" i="41"/>
  <c r="T3" i="31" l="1"/>
  <c r="T3" i="37"/>
  <c r="T3" i="34"/>
  <c r="T3" i="35" s="1"/>
  <c r="T3" i="13"/>
  <c r="T3" i="41"/>
  <c r="S2" i="30"/>
  <c r="S2" i="37"/>
  <c r="S2" i="35"/>
  <c r="S2" i="34"/>
  <c r="W27" i="38"/>
  <c r="T3" i="40"/>
  <c r="T3" i="12"/>
  <c r="S2" i="31"/>
  <c r="T2" i="39"/>
  <c r="S2" i="36"/>
  <c r="S2" i="40"/>
  <c r="S2" i="13"/>
  <c r="S2" i="12"/>
  <c r="S2" i="41"/>
  <c r="R128" i="41"/>
  <c r="R98" i="41" s="1"/>
  <c r="R95" i="41"/>
  <c r="R94" i="41"/>
  <c r="R96" i="41"/>
  <c r="R106" i="41"/>
  <c r="R97" i="41"/>
  <c r="R93" i="41"/>
  <c r="S86" i="40"/>
  <c r="S119" i="40"/>
  <c r="S87" i="40"/>
  <c r="S120" i="40"/>
  <c r="S97" i="40"/>
  <c r="S93" i="40"/>
  <c r="S98" i="40"/>
  <c r="S73" i="41"/>
  <c r="S87" i="41"/>
  <c r="S119" i="41"/>
  <c r="S120" i="41"/>
  <c r="S86" i="41"/>
  <c r="U2" i="39"/>
  <c r="T2" i="30"/>
  <c r="T2" i="36"/>
  <c r="S47" i="30"/>
  <c r="S45" i="30"/>
  <c r="T13" i="39"/>
  <c r="U3" i="39"/>
  <c r="T3" i="30"/>
  <c r="T3" i="36"/>
  <c r="S46" i="31"/>
  <c r="S44" i="31"/>
  <c r="Q96" i="41"/>
  <c r="Q94" i="41"/>
  <c r="Q106" i="41"/>
  <c r="Q128" i="41"/>
  <c r="Q98" i="41" s="1"/>
  <c r="Q95" i="41"/>
  <c r="Q93" i="41"/>
  <c r="Q97" i="41"/>
  <c r="R68" i="40"/>
  <c r="R75" i="40"/>
  <c r="R100" i="40"/>
  <c r="R44" i="31"/>
  <c r="R46" i="31"/>
  <c r="I198" i="6"/>
  <c r="J198" i="6"/>
  <c r="Q106" i="40"/>
  <c r="Q94" i="40"/>
  <c r="Q128" i="40"/>
  <c r="Q98" i="40" s="1"/>
  <c r="Q96" i="40"/>
  <c r="Q95" i="40"/>
  <c r="Q47" i="30"/>
  <c r="Q97" i="40"/>
  <c r="Q93" i="40"/>
  <c r="U2" i="31" l="1"/>
  <c r="U2" i="30"/>
  <c r="U2" i="37"/>
  <c r="U2" i="13"/>
  <c r="U2" i="35"/>
  <c r="U2" i="34"/>
  <c r="U2" i="12"/>
  <c r="U2" i="40"/>
  <c r="U2" i="41"/>
  <c r="T2" i="31"/>
  <c r="T2" i="37"/>
  <c r="T2" i="35"/>
  <c r="T2" i="34"/>
  <c r="T2" i="13"/>
  <c r="T2" i="41"/>
  <c r="U3" i="30"/>
  <c r="U3" i="31"/>
  <c r="U3" i="37"/>
  <c r="U3" i="34"/>
  <c r="U3" i="35" s="1"/>
  <c r="U3" i="13"/>
  <c r="U3" i="12"/>
  <c r="U3" i="41"/>
  <c r="U3" i="40"/>
  <c r="X27" i="38"/>
  <c r="M29" i="19"/>
  <c r="T73" i="41"/>
  <c r="T86" i="41"/>
  <c r="T87" i="41"/>
  <c r="T120" i="41"/>
  <c r="T119" i="41"/>
  <c r="T2" i="40"/>
  <c r="T2" i="12"/>
  <c r="M23" i="11"/>
  <c r="M33" i="11"/>
  <c r="M9" i="11"/>
  <c r="M11" i="24" s="1"/>
  <c r="M36" i="11"/>
  <c r="M16" i="11"/>
  <c r="M8" i="11"/>
  <c r="M38" i="11"/>
  <c r="Z90" i="12" s="1"/>
  <c r="M18" i="11"/>
  <c r="M19" i="11"/>
  <c r="M34" i="11"/>
  <c r="M22" i="11"/>
  <c r="M27" i="11"/>
  <c r="M27" i="25" s="1"/>
  <c r="M28" i="25" s="1"/>
  <c r="M15" i="11"/>
  <c r="M10" i="11"/>
  <c r="M11" i="11"/>
  <c r="M39" i="11"/>
  <c r="Z91" i="12" s="1"/>
  <c r="M17" i="11"/>
  <c r="M40" i="11"/>
  <c r="T86" i="40"/>
  <c r="T87" i="40"/>
  <c r="T120" i="40"/>
  <c r="T119" i="40"/>
  <c r="T93" i="40"/>
  <c r="T97" i="40"/>
  <c r="T98" i="40"/>
  <c r="M47" i="18"/>
  <c r="M14" i="18"/>
  <c r="M15" i="18"/>
  <c r="M54" i="18"/>
  <c r="M51" i="18"/>
  <c r="M41" i="18"/>
  <c r="M18" i="18"/>
  <c r="M55" i="18"/>
  <c r="M39" i="18"/>
  <c r="M40" i="18"/>
  <c r="Z114" i="40" s="1"/>
  <c r="M11" i="18"/>
  <c r="M35" i="18"/>
  <c r="M21" i="18"/>
  <c r="M12" i="18"/>
  <c r="M56" i="18"/>
  <c r="M36" i="18"/>
  <c r="M61" i="18"/>
  <c r="M59" i="18"/>
  <c r="M53" i="18"/>
  <c r="M46" i="18"/>
  <c r="M26" i="18"/>
  <c r="M32" i="18"/>
  <c r="M10" i="18"/>
  <c r="M50" i="18"/>
  <c r="M9" i="18"/>
  <c r="M25" i="18"/>
  <c r="M60" i="18"/>
  <c r="M22" i="18"/>
  <c r="M20" i="18"/>
  <c r="M30" i="18"/>
  <c r="M27" i="18"/>
  <c r="M62" i="18"/>
  <c r="M38" i="18"/>
  <c r="Z120" i="40" s="1"/>
  <c r="M8" i="18"/>
  <c r="M16" i="18"/>
  <c r="M29" i="18"/>
  <c r="M63" i="18"/>
  <c r="S68" i="41"/>
  <c r="S75" i="41"/>
  <c r="S100" i="41"/>
  <c r="M31" i="19"/>
  <c r="M21" i="19"/>
  <c r="M25" i="19"/>
  <c r="M11" i="19"/>
  <c r="M8" i="19"/>
  <c r="T45" i="30"/>
  <c r="T47" i="30"/>
  <c r="M30" i="19"/>
  <c r="M27" i="19"/>
  <c r="Z62" i="30" s="1"/>
  <c r="Z63" i="30" s="1"/>
  <c r="M26" i="19"/>
  <c r="M15" i="19"/>
  <c r="M20" i="19"/>
  <c r="M17" i="19"/>
  <c r="V3" i="39"/>
  <c r="U13" i="39"/>
  <c r="U3" i="36"/>
  <c r="M23" i="19"/>
  <c r="M18" i="19"/>
  <c r="M36" i="19"/>
  <c r="M19" i="19"/>
  <c r="M33" i="19"/>
  <c r="M24" i="19"/>
  <c r="V2" i="39"/>
  <c r="W2" i="39" s="1"/>
  <c r="U2" i="36"/>
  <c r="M28" i="19"/>
  <c r="M32" i="19"/>
  <c r="M16" i="19"/>
  <c r="M10" i="19"/>
  <c r="M14" i="19"/>
  <c r="M9" i="19"/>
  <c r="Z12" i="30" s="1"/>
  <c r="J65" i="19"/>
  <c r="J226" i="6"/>
  <c r="J174" i="17"/>
  <c r="J173" i="17"/>
  <c r="J175" i="17"/>
  <c r="I125" i="6"/>
  <c r="I126" i="6" s="1"/>
  <c r="J171" i="17"/>
  <c r="R47" i="30"/>
  <c r="R94" i="40"/>
  <c r="R128" i="40"/>
  <c r="R98" i="40" s="1"/>
  <c r="R106" i="40"/>
  <c r="R96" i="40"/>
  <c r="R95" i="40"/>
  <c r="R97" i="40"/>
  <c r="R93" i="40"/>
  <c r="J65" i="27"/>
  <c r="J169" i="17"/>
  <c r="Z34" i="30" l="1"/>
  <c r="Z46" i="30"/>
  <c r="Z13" i="30"/>
  <c r="Z45" i="30"/>
  <c r="Z43" i="30"/>
  <c r="Z47" i="30"/>
  <c r="Z22" i="30"/>
  <c r="Z57" i="30"/>
  <c r="Z23" i="40"/>
  <c r="W102" i="40"/>
  <c r="Z102" i="40"/>
  <c r="Z82" i="40"/>
  <c r="Z71" i="40"/>
  <c r="Z81" i="40"/>
  <c r="Z86" i="40"/>
  <c r="Z87" i="40"/>
  <c r="Z57" i="40"/>
  <c r="Z111" i="40" s="1"/>
  <c r="W83" i="40"/>
  <c r="Z83" i="40"/>
  <c r="Z13" i="40"/>
  <c r="Z118" i="40"/>
  <c r="Z119" i="40"/>
  <c r="W103" i="40"/>
  <c r="Z103" i="40"/>
  <c r="M15" i="24"/>
  <c r="M13" i="24"/>
  <c r="M9" i="25"/>
  <c r="M10" i="25" s="1"/>
  <c r="M25" i="25"/>
  <c r="M26" i="25" s="1"/>
  <c r="Y25" i="36"/>
  <c r="M23" i="25"/>
  <c r="M24" i="25" s="1"/>
  <c r="M17" i="25"/>
  <c r="M18" i="25" s="1"/>
  <c r="Y17" i="36"/>
  <c r="M15" i="25"/>
  <c r="M16" i="25" s="1"/>
  <c r="Y15" i="36"/>
  <c r="Z92" i="12"/>
  <c r="Z95" i="12" s="1"/>
  <c r="M9" i="24"/>
  <c r="M10" i="24" s="1"/>
  <c r="M13" i="25"/>
  <c r="M14" i="25" s="1"/>
  <c r="Y13" i="36"/>
  <c r="M11" i="25"/>
  <c r="M12" i="25" s="1"/>
  <c r="M12" i="24"/>
  <c r="M16" i="24"/>
  <c r="M14" i="24"/>
  <c r="M16" i="27"/>
  <c r="M25" i="27"/>
  <c r="M32" i="27"/>
  <c r="M24" i="27"/>
  <c r="M18" i="27"/>
  <c r="M26" i="27"/>
  <c r="M21" i="27"/>
  <c r="M15" i="27"/>
  <c r="M28" i="27"/>
  <c r="M33" i="27"/>
  <c r="M17" i="27"/>
  <c r="W62" i="30"/>
  <c r="W63" i="30" s="1"/>
  <c r="W43" i="30"/>
  <c r="X45" i="30"/>
  <c r="X47" i="30"/>
  <c r="M31" i="27"/>
  <c r="M36" i="27"/>
  <c r="W57" i="30"/>
  <c r="M10" i="27"/>
  <c r="M19" i="27"/>
  <c r="M20" i="27"/>
  <c r="M30" i="27"/>
  <c r="M11" i="27"/>
  <c r="M29" i="27"/>
  <c r="W104" i="40"/>
  <c r="M16" i="4"/>
  <c r="L232" i="6" s="1"/>
  <c r="M10" i="4"/>
  <c r="L230" i="6" s="1"/>
  <c r="M11" i="4"/>
  <c r="W118" i="40"/>
  <c r="M32" i="4"/>
  <c r="M59" i="4"/>
  <c r="M12" i="4"/>
  <c r="M40" i="4"/>
  <c r="J282" i="17" s="1"/>
  <c r="W114" i="40"/>
  <c r="M41" i="4"/>
  <c r="M14" i="4"/>
  <c r="M60" i="4"/>
  <c r="M53" i="4"/>
  <c r="M18" i="4"/>
  <c r="M63" i="4"/>
  <c r="M257" i="6" s="1"/>
  <c r="M38" i="4"/>
  <c r="M245" i="6" s="1"/>
  <c r="M20" i="4"/>
  <c r="M235" i="6" s="1"/>
  <c r="M9" i="4"/>
  <c r="W13" i="40"/>
  <c r="M26" i="4"/>
  <c r="M61" i="4"/>
  <c r="M39" i="4"/>
  <c r="M51" i="4"/>
  <c r="M47" i="4"/>
  <c r="M27" i="4"/>
  <c r="M56" i="4"/>
  <c r="M15" i="4"/>
  <c r="M233" i="6" s="1"/>
  <c r="M62" i="4"/>
  <c r="M22" i="4"/>
  <c r="M36" i="4"/>
  <c r="W82" i="40"/>
  <c r="M55" i="4"/>
  <c r="M18" i="17"/>
  <c r="M39" i="2"/>
  <c r="M91" i="2" s="1"/>
  <c r="M36" i="2"/>
  <c r="M11" i="2"/>
  <c r="M15" i="8" s="1"/>
  <c r="M22" i="2"/>
  <c r="M38" i="2"/>
  <c r="M90" i="2" s="1"/>
  <c r="M92" i="2" s="1"/>
  <c r="M9" i="2"/>
  <c r="M27" i="2"/>
  <c r="M93" i="2" s="1"/>
  <c r="M40" i="2"/>
  <c r="M10" i="2"/>
  <c r="M13" i="8" s="1"/>
  <c r="M34" i="2"/>
  <c r="M8" i="2"/>
  <c r="M9" i="8" s="1"/>
  <c r="AB77" i="39" s="1"/>
  <c r="M33" i="2"/>
  <c r="M18" i="2"/>
  <c r="M17" i="2"/>
  <c r="M15" i="2"/>
  <c r="L73" i="6"/>
  <c r="M19" i="2"/>
  <c r="M16" i="2"/>
  <c r="M23" i="2"/>
  <c r="M25" i="26" s="1"/>
  <c r="M26" i="26" s="1"/>
  <c r="L225" i="6"/>
  <c r="L226" i="6" s="1"/>
  <c r="L60" i="6"/>
  <c r="L61" i="6" s="1"/>
  <c r="T75" i="41"/>
  <c r="T68" i="41"/>
  <c r="T100" i="41"/>
  <c r="U73" i="41"/>
  <c r="U86" i="41"/>
  <c r="U119" i="41"/>
  <c r="U120" i="41"/>
  <c r="U87" i="41"/>
  <c r="U47" i="30"/>
  <c r="U45" i="30"/>
  <c r="T44" i="31"/>
  <c r="T46" i="31"/>
  <c r="U120" i="40"/>
  <c r="U86" i="40"/>
  <c r="U119" i="40"/>
  <c r="U87" i="40"/>
  <c r="U93" i="40"/>
  <c r="U97" i="40"/>
  <c r="U98" i="40"/>
  <c r="M31" i="18"/>
  <c r="M52" i="18"/>
  <c r="M42" i="18"/>
  <c r="M28" i="18"/>
  <c r="Z33" i="40" s="1"/>
  <c r="M45" i="18"/>
  <c r="M37" i="18"/>
  <c r="M19" i="18"/>
  <c r="M64" i="18"/>
  <c r="M17" i="18"/>
  <c r="M48" i="18"/>
  <c r="M65" i="18"/>
  <c r="Z66" i="40" s="1"/>
  <c r="M41" i="11"/>
  <c r="M31" i="11"/>
  <c r="M29" i="11"/>
  <c r="M29" i="2" s="1"/>
  <c r="M32" i="11"/>
  <c r="M35" i="11"/>
  <c r="M44" i="11"/>
  <c r="M42" i="11"/>
  <c r="M21" i="11"/>
  <c r="M21" i="25" s="1"/>
  <c r="M22" i="25" s="1"/>
  <c r="U44" i="31"/>
  <c r="U46" i="31"/>
  <c r="M46" i="4"/>
  <c r="M61" i="19"/>
  <c r="M93" i="11"/>
  <c r="M8" i="4"/>
  <c r="M13" i="18"/>
  <c r="M13" i="4" s="1"/>
  <c r="M81" i="18"/>
  <c r="M25" i="4"/>
  <c r="M71" i="18"/>
  <c r="M35" i="4"/>
  <c r="M82" i="18"/>
  <c r="M50" i="4"/>
  <c r="M91" i="11"/>
  <c r="M29" i="4"/>
  <c r="M83" i="18"/>
  <c r="M103" i="18"/>
  <c r="M54" i="4"/>
  <c r="M118" i="18"/>
  <c r="M30" i="4"/>
  <c r="L240" i="6" s="1"/>
  <c r="M225" i="6"/>
  <c r="M226" i="6" s="1"/>
  <c r="M90" i="11"/>
  <c r="M102" i="18"/>
  <c r="M21" i="4"/>
  <c r="M12" i="11"/>
  <c r="M17" i="24" s="1"/>
  <c r="J131" i="17"/>
  <c r="M13" i="11"/>
  <c r="M14" i="11" s="1"/>
  <c r="S128" i="41"/>
  <c r="S98" i="41" s="1"/>
  <c r="S94" i="41"/>
  <c r="S95" i="41"/>
  <c r="S96" i="41"/>
  <c r="S106" i="41"/>
  <c r="S97" i="41"/>
  <c r="S93" i="41"/>
  <c r="M9" i="27"/>
  <c r="M12" i="19"/>
  <c r="M13" i="19" s="1"/>
  <c r="M62" i="19"/>
  <c r="M27" i="27"/>
  <c r="M62" i="27" s="1"/>
  <c r="J309" i="17" s="1"/>
  <c r="M22" i="19"/>
  <c r="M14" i="27"/>
  <c r="M57" i="19"/>
  <c r="V13" i="39"/>
  <c r="W3" i="39"/>
  <c r="M34" i="19"/>
  <c r="M23" i="27"/>
  <c r="M43" i="19"/>
  <c r="M8" i="27"/>
  <c r="M27" i="6"/>
  <c r="AB76" i="39" s="1"/>
  <c r="I205" i="6"/>
  <c r="I110" i="6"/>
  <c r="J176" i="17"/>
  <c r="J172" i="17"/>
  <c r="I82" i="6"/>
  <c r="J170" i="17"/>
  <c r="J150" i="17"/>
  <c r="J147" i="17" s="1"/>
  <c r="J168" i="17"/>
  <c r="Z77" i="39" l="1"/>
  <c r="AA77" i="39"/>
  <c r="AA76" i="39"/>
  <c r="M28" i="6"/>
  <c r="N16" i="17"/>
  <c r="Z49" i="30"/>
  <c r="Z56" i="30"/>
  <c r="Z58" i="30" s="1"/>
  <c r="Z44" i="30"/>
  <c r="Z35" i="30"/>
  <c r="Z38" i="30" s="1"/>
  <c r="Z40" i="30"/>
  <c r="N56" i="17"/>
  <c r="L246" i="6"/>
  <c r="M232" i="6"/>
  <c r="Z123" i="40"/>
  <c r="Z126" i="40" s="1"/>
  <c r="Z125" i="40"/>
  <c r="Z108" i="40"/>
  <c r="J271" i="17"/>
  <c r="Z24" i="40"/>
  <c r="L7" i="17"/>
  <c r="W84" i="40"/>
  <c r="Z104" i="40"/>
  <c r="Y57" i="36"/>
  <c r="Y58" i="36" s="1"/>
  <c r="Y18" i="36"/>
  <c r="Z20" i="12"/>
  <c r="Y19" i="36" s="1"/>
  <c r="Y23" i="36"/>
  <c r="Z77" i="12"/>
  <c r="Z78" i="12" s="1"/>
  <c r="Y11" i="36"/>
  <c r="Y65" i="36"/>
  <c r="Y66" i="36" s="1"/>
  <c r="Y26" i="36"/>
  <c r="M29" i="25"/>
  <c r="M30" i="25" s="1"/>
  <c r="Y29" i="36"/>
  <c r="Y53" i="36"/>
  <c r="Y54" i="36" s="1"/>
  <c r="Y14" i="36"/>
  <c r="Y9" i="36"/>
  <c r="Z13" i="12"/>
  <c r="Z61" i="12"/>
  <c r="Z62" i="12" s="1"/>
  <c r="Z67" i="12"/>
  <c r="Z68" i="12" s="1"/>
  <c r="Z57" i="12"/>
  <c r="Z58" i="12" s="1"/>
  <c r="Z69" i="12"/>
  <c r="Z70" i="12" s="1"/>
  <c r="Z71" i="12"/>
  <c r="Z72" i="12" s="1"/>
  <c r="Z12" i="12"/>
  <c r="Y55" i="36"/>
  <c r="Y56" i="36" s="1"/>
  <c r="Y16" i="36"/>
  <c r="M55" i="2"/>
  <c r="M59" i="2" s="1"/>
  <c r="M60" i="2" s="1"/>
  <c r="M12" i="27"/>
  <c r="J272" i="17"/>
  <c r="M230" i="6"/>
  <c r="M20" i="11"/>
  <c r="M19" i="25" s="1"/>
  <c r="M20" i="25" s="1"/>
  <c r="L245" i="6"/>
  <c r="M256" i="6"/>
  <c r="M246" i="6"/>
  <c r="W110" i="41"/>
  <c r="W112" i="41" s="1"/>
  <c r="M11" i="8"/>
  <c r="L235" i="6"/>
  <c r="M16" i="8"/>
  <c r="M18" i="24"/>
  <c r="M14" i="8"/>
  <c r="L62" i="6"/>
  <c r="M19" i="24"/>
  <c r="M10" i="8"/>
  <c r="L257" i="6"/>
  <c r="M234" i="6"/>
  <c r="L256" i="6"/>
  <c r="L65" i="19"/>
  <c r="X34" i="30"/>
  <c r="W22" i="30"/>
  <c r="X43" i="30"/>
  <c r="W34" i="30"/>
  <c r="X12" i="30"/>
  <c r="X13" i="30" s="1"/>
  <c r="Y12" i="30"/>
  <c r="X62" i="30"/>
  <c r="X63" i="30" s="1"/>
  <c r="Y62" i="30"/>
  <c r="Y63" i="30" s="1"/>
  <c r="X22" i="30"/>
  <c r="X57" i="30"/>
  <c r="W12" i="30"/>
  <c r="W13" i="30" s="1"/>
  <c r="L239" i="6"/>
  <c r="M31" i="4"/>
  <c r="L242" i="6" s="1"/>
  <c r="M70" i="18"/>
  <c r="M45" i="19" s="1"/>
  <c r="M64" i="4"/>
  <c r="W66" i="40"/>
  <c r="M28" i="4"/>
  <c r="L241" i="6" s="1"/>
  <c r="W33" i="40"/>
  <c r="L233" i="6"/>
  <c r="W71" i="40"/>
  <c r="M17" i="4"/>
  <c r="W23" i="40"/>
  <c r="W24" i="40" s="1"/>
  <c r="W81" i="40"/>
  <c r="W85" i="40" s="1"/>
  <c r="M23" i="18"/>
  <c r="M24" i="18" s="1"/>
  <c r="M33" i="18"/>
  <c r="M65" i="4"/>
  <c r="M19" i="4"/>
  <c r="M42" i="4"/>
  <c r="W43" i="40"/>
  <c r="M45" i="4"/>
  <c r="M70" i="4" s="1"/>
  <c r="N57" i="17" s="1"/>
  <c r="W70" i="40"/>
  <c r="W45" i="30" s="1"/>
  <c r="J7" i="17"/>
  <c r="M48" i="4"/>
  <c r="M52" i="4"/>
  <c r="L252" i="6" s="1"/>
  <c r="W57" i="40"/>
  <c r="W111" i="40" s="1"/>
  <c r="L234" i="6"/>
  <c r="M43" i="18"/>
  <c r="M117" i="18" s="1"/>
  <c r="L248" i="6"/>
  <c r="L97" i="2"/>
  <c r="L65" i="27" s="1"/>
  <c r="M66" i="18"/>
  <c r="M125" i="18" s="1"/>
  <c r="M35" i="2"/>
  <c r="M41" i="2"/>
  <c r="W59" i="12"/>
  <c r="W60" i="12" s="1"/>
  <c r="M31" i="2"/>
  <c r="M23" i="26"/>
  <c r="M24" i="26" s="1"/>
  <c r="M21" i="2"/>
  <c r="M94" i="2" s="1"/>
  <c r="M95" i="2" s="1"/>
  <c r="M32" i="2"/>
  <c r="W77" i="12"/>
  <c r="W78" i="12" s="1"/>
  <c r="M13" i="2"/>
  <c r="M12" i="2"/>
  <c r="M17" i="8" s="1"/>
  <c r="M44" i="2"/>
  <c r="M42" i="2"/>
  <c r="W13" i="12"/>
  <c r="W57" i="12"/>
  <c r="W58" i="12" s="1"/>
  <c r="W61" i="12"/>
  <c r="W62" i="12" s="1"/>
  <c r="W67" i="12"/>
  <c r="W68" i="12" s="1"/>
  <c r="W69" i="12"/>
  <c r="W70" i="12" s="1"/>
  <c r="W12" i="12"/>
  <c r="W71" i="12"/>
  <c r="W72" i="12" s="1"/>
  <c r="W93" i="12"/>
  <c r="W90" i="12"/>
  <c r="W46" i="30" s="1"/>
  <c r="W91" i="12"/>
  <c r="L197" i="6"/>
  <c r="L198" i="6" s="1"/>
  <c r="M229" i="6"/>
  <c r="L229" i="6"/>
  <c r="L231" i="6" s="1"/>
  <c r="X76" i="39"/>
  <c r="Y76" i="39"/>
  <c r="M57" i="18"/>
  <c r="M111" i="18" s="1"/>
  <c r="M49" i="18"/>
  <c r="N19" i="17" s="1"/>
  <c r="M46" i="27"/>
  <c r="M94" i="11"/>
  <c r="M197" i="6"/>
  <c r="M198" i="6" s="1"/>
  <c r="M121" i="18"/>
  <c r="T128" i="41"/>
  <c r="T98" i="41" s="1"/>
  <c r="T106" i="41"/>
  <c r="T95" i="41"/>
  <c r="T96" i="41"/>
  <c r="T94" i="41"/>
  <c r="T93" i="41"/>
  <c r="T97" i="41"/>
  <c r="M37" i="4"/>
  <c r="M84" i="18"/>
  <c r="M85" i="18" s="1"/>
  <c r="U68" i="41"/>
  <c r="U100" i="41"/>
  <c r="U75" i="41"/>
  <c r="M104" i="18"/>
  <c r="M92" i="11"/>
  <c r="M63" i="19"/>
  <c r="M103" i="4"/>
  <c r="J288" i="17"/>
  <c r="M17" i="26"/>
  <c r="L134" i="6" s="1"/>
  <c r="J242" i="17"/>
  <c r="M46" i="19"/>
  <c r="J206" i="17"/>
  <c r="L89" i="6"/>
  <c r="L90" i="6" s="1"/>
  <c r="J205" i="17"/>
  <c r="M83" i="4"/>
  <c r="M13" i="26"/>
  <c r="AB81" i="39" s="1"/>
  <c r="J240" i="17"/>
  <c r="M9" i="26"/>
  <c r="AB80" i="39" s="1"/>
  <c r="J237" i="17"/>
  <c r="M27" i="26"/>
  <c r="L141" i="6" s="1"/>
  <c r="M61" i="27"/>
  <c r="J310" i="17" s="1"/>
  <c r="J311" i="17" s="1"/>
  <c r="J238" i="17"/>
  <c r="J254" i="17" s="1"/>
  <c r="J255" i="17" s="1"/>
  <c r="J256" i="17" s="1"/>
  <c r="M73" i="4"/>
  <c r="J262" i="17" s="1"/>
  <c r="M240" i="6"/>
  <c r="M118" i="4"/>
  <c r="M53" i="19"/>
  <c r="M102" i="4"/>
  <c r="M15" i="26"/>
  <c r="M16" i="26" s="1"/>
  <c r="J236" i="17"/>
  <c r="J235" i="17"/>
  <c r="M11" i="26"/>
  <c r="L92" i="6" s="1"/>
  <c r="L104" i="6" s="1"/>
  <c r="L105" i="6" s="1"/>
  <c r="M239" i="6"/>
  <c r="M81" i="4"/>
  <c r="M71" i="4"/>
  <c r="J276" i="17"/>
  <c r="M119" i="18"/>
  <c r="I114" i="40"/>
  <c r="J9" i="17"/>
  <c r="M86" i="18"/>
  <c r="N20" i="17" s="1"/>
  <c r="M114" i="18"/>
  <c r="L9" i="17"/>
  <c r="J281" i="17"/>
  <c r="M82" i="4"/>
  <c r="M248" i="6"/>
  <c r="M11" i="6"/>
  <c r="M9" i="6"/>
  <c r="M10" i="6"/>
  <c r="J204" i="17"/>
  <c r="M62" i="6"/>
  <c r="M34" i="27"/>
  <c r="M22" i="27"/>
  <c r="M57" i="27"/>
  <c r="J306" i="17" s="1"/>
  <c r="M80" i="6"/>
  <c r="L76" i="39"/>
  <c r="Q76" i="39"/>
  <c r="U76" i="39"/>
  <c r="S76" i="39"/>
  <c r="P76" i="39"/>
  <c r="K76" i="39"/>
  <c r="W76" i="39"/>
  <c r="T76" i="39"/>
  <c r="O76" i="39"/>
  <c r="M76" i="39"/>
  <c r="V76" i="39"/>
  <c r="R76" i="39"/>
  <c r="J76" i="39"/>
  <c r="M55" i="11"/>
  <c r="M73" i="6"/>
  <c r="M43" i="27"/>
  <c r="M13" i="27"/>
  <c r="W13" i="39"/>
  <c r="M14" i="6"/>
  <c r="M15" i="6" s="1"/>
  <c r="M19" i="6"/>
  <c r="M128" i="6" s="1"/>
  <c r="M18" i="6"/>
  <c r="M116" i="6" s="1"/>
  <c r="M123" i="6" s="1"/>
  <c r="M20" i="6"/>
  <c r="M21" i="6" s="1"/>
  <c r="M12" i="6"/>
  <c r="M13" i="6" s="1"/>
  <c r="M25" i="6"/>
  <c r="M26" i="6"/>
  <c r="M95" i="6" s="1"/>
  <c r="M100" i="6" s="1"/>
  <c r="M22" i="6"/>
  <c r="M33" i="6"/>
  <c r="AB78" i="39" s="1"/>
  <c r="M24" i="6"/>
  <c r="M31" i="6"/>
  <c r="M32" i="6" s="1"/>
  <c r="M43" i="6"/>
  <c r="M64" i="24" s="1"/>
  <c r="M65" i="24" s="1"/>
  <c r="M37" i="6"/>
  <c r="M55" i="24" s="1"/>
  <c r="M56" i="24" s="1"/>
  <c r="M45" i="6"/>
  <c r="M39" i="6"/>
  <c r="M40" i="6" s="1"/>
  <c r="M35" i="19"/>
  <c r="M38" i="19" s="1"/>
  <c r="M40" i="19"/>
  <c r="M56" i="19"/>
  <c r="M58" i="19" s="1"/>
  <c r="M49" i="19"/>
  <c r="M44" i="19"/>
  <c r="I105" i="6"/>
  <c r="J105" i="6"/>
  <c r="I90" i="6"/>
  <c r="J90" i="6"/>
  <c r="I136" i="6"/>
  <c r="J111" i="6"/>
  <c r="I111" i="6"/>
  <c r="Z36" i="17"/>
  <c r="I87" i="11"/>
  <c r="Z40" i="17"/>
  <c r="J149" i="17"/>
  <c r="J146" i="17" s="1"/>
  <c r="I163" i="6"/>
  <c r="I164" i="6" s="1"/>
  <c r="I144" i="6"/>
  <c r="I145" i="6" s="1"/>
  <c r="I127" i="6"/>
  <c r="J127" i="6"/>
  <c r="Z38" i="17"/>
  <c r="M66" i="4" l="1"/>
  <c r="M125" i="4" s="1"/>
  <c r="M24" i="11"/>
  <c r="Z80" i="39"/>
  <c r="AA80" i="39"/>
  <c r="Z81" i="39"/>
  <c r="AA81" i="39"/>
  <c r="M26" i="11"/>
  <c r="L12" i="17" s="1"/>
  <c r="M25" i="11"/>
  <c r="M61" i="2"/>
  <c r="M62" i="2" s="1"/>
  <c r="M57" i="2"/>
  <c r="M58" i="2" s="1"/>
  <c r="M34" i="6"/>
  <c r="AA78" i="39"/>
  <c r="M231" i="6"/>
  <c r="Z49" i="40"/>
  <c r="Z70" i="40"/>
  <c r="Z34" i="40"/>
  <c r="Z110" i="40"/>
  <c r="Z84" i="40"/>
  <c r="Z85" i="40" s="1"/>
  <c r="Z43" i="40"/>
  <c r="Z24" i="12"/>
  <c r="Z25" i="12" s="1"/>
  <c r="Y69" i="36"/>
  <c r="Y70" i="36" s="1"/>
  <c r="Y30" i="36"/>
  <c r="Y51" i="36"/>
  <c r="Y52" i="36" s="1"/>
  <c r="Y12" i="36"/>
  <c r="Z63" i="12"/>
  <c r="Z64" i="12" s="1"/>
  <c r="Z65" i="12"/>
  <c r="Z66" i="12" s="1"/>
  <c r="Z14" i="12"/>
  <c r="Y31" i="36"/>
  <c r="Y36" i="36" s="1"/>
  <c r="Y49" i="36"/>
  <c r="Y50" i="36" s="1"/>
  <c r="Y10" i="36"/>
  <c r="Y63" i="36"/>
  <c r="Y64" i="36" s="1"/>
  <c r="Y24" i="36"/>
  <c r="M31" i="25"/>
  <c r="M33" i="25" s="1"/>
  <c r="M34" i="25" s="1"/>
  <c r="Z75" i="12"/>
  <c r="Y59" i="36"/>
  <c r="Y60" i="36" s="1"/>
  <c r="Y20" i="36"/>
  <c r="M35" i="8"/>
  <c r="M36" i="8" s="1"/>
  <c r="Z76" i="39"/>
  <c r="Z28" i="39"/>
  <c r="Z50" i="39"/>
  <c r="Z51" i="39" s="1"/>
  <c r="Z73" i="39"/>
  <c r="M48" i="8"/>
  <c r="M49" i="8" s="1"/>
  <c r="N24" i="17"/>
  <c r="M241" i="6"/>
  <c r="P23" i="17"/>
  <c r="M62" i="8"/>
  <c r="M63" i="8" s="1"/>
  <c r="M43" i="4"/>
  <c r="J283" i="17" s="1"/>
  <c r="J284" i="17" s="1"/>
  <c r="M57" i="4"/>
  <c r="J289" i="17" s="1"/>
  <c r="W19" i="34"/>
  <c r="X119" i="40"/>
  <c r="X86" i="40"/>
  <c r="X97" i="40"/>
  <c r="W119" i="40"/>
  <c r="W86" i="40"/>
  <c r="M252" i="6"/>
  <c r="M88" i="18"/>
  <c r="M109" i="18"/>
  <c r="M44" i="18"/>
  <c r="M115" i="18" s="1"/>
  <c r="W68" i="41"/>
  <c r="W58" i="41"/>
  <c r="W100" i="41"/>
  <c r="W99" i="41"/>
  <c r="M108" i="18"/>
  <c r="L203" i="6"/>
  <c r="M34" i="18"/>
  <c r="M99" i="18" s="1"/>
  <c r="M116" i="18"/>
  <c r="L8" i="17"/>
  <c r="M42" i="8"/>
  <c r="M43" i="8" s="1"/>
  <c r="M33" i="8"/>
  <c r="M34" i="8" s="1"/>
  <c r="M67" i="2"/>
  <c r="M68" i="2" s="1"/>
  <c r="M73" i="24"/>
  <c r="M74" i="24" s="1"/>
  <c r="M69" i="24"/>
  <c r="M70" i="24" s="1"/>
  <c r="M71" i="24"/>
  <c r="M72" i="24" s="1"/>
  <c r="M71" i="2"/>
  <c r="M72" i="2" s="1"/>
  <c r="M55" i="8"/>
  <c r="M56" i="8" s="1"/>
  <c r="M37" i="24"/>
  <c r="M38" i="24" s="1"/>
  <c r="M31" i="8"/>
  <c r="M32" i="8" s="1"/>
  <c r="M44" i="8"/>
  <c r="M45" i="8" s="1"/>
  <c r="M12" i="8"/>
  <c r="M60" i="24"/>
  <c r="M61" i="24" s="1"/>
  <c r="M62" i="24"/>
  <c r="M63" i="24" s="1"/>
  <c r="M58" i="24"/>
  <c r="M59" i="24" s="1"/>
  <c r="L247" i="6"/>
  <c r="L249" i="6" s="1"/>
  <c r="M29" i="8"/>
  <c r="M30" i="8" s="1"/>
  <c r="M60" i="8"/>
  <c r="M61" i="8" s="1"/>
  <c r="M75" i="24"/>
  <c r="M76" i="24" s="1"/>
  <c r="M52" i="2"/>
  <c r="M65" i="2" s="1"/>
  <c r="M66" i="2" s="1"/>
  <c r="N32" i="17"/>
  <c r="N33" i="17" s="1"/>
  <c r="M42" i="24"/>
  <c r="M43" i="24" s="1"/>
  <c r="M44" i="24"/>
  <c r="M45" i="24" s="1"/>
  <c r="M46" i="24"/>
  <c r="M47" i="24" s="1"/>
  <c r="M48" i="24"/>
  <c r="M49" i="24" s="1"/>
  <c r="M50" i="2"/>
  <c r="M63" i="2" s="1"/>
  <c r="M64" i="2" s="1"/>
  <c r="N34" i="17"/>
  <c r="N35" i="17" s="1"/>
  <c r="M29" i="24"/>
  <c r="M30" i="24" s="1"/>
  <c r="M31" i="24"/>
  <c r="M32" i="24" s="1"/>
  <c r="M35" i="24"/>
  <c r="M36" i="24" s="1"/>
  <c r="M33" i="24"/>
  <c r="M34" i="24" s="1"/>
  <c r="M23" i="4"/>
  <c r="M24" i="4" s="1"/>
  <c r="M58" i="8"/>
  <c r="M59" i="8" s="1"/>
  <c r="M46" i="8"/>
  <c r="M47" i="8" s="1"/>
  <c r="M50" i="24"/>
  <c r="M51" i="24" s="1"/>
  <c r="M64" i="8"/>
  <c r="M65" i="8" s="1"/>
  <c r="M18" i="8"/>
  <c r="M37" i="8"/>
  <c r="M38" i="8" s="1"/>
  <c r="M50" i="8"/>
  <c r="M51" i="8" s="1"/>
  <c r="M66" i="24"/>
  <c r="M67" i="24" s="1"/>
  <c r="M20" i="24"/>
  <c r="M77" i="24"/>
  <c r="M78" i="24" s="1"/>
  <c r="M52" i="24"/>
  <c r="M53" i="24" s="1"/>
  <c r="M39" i="24"/>
  <c r="M40" i="24" s="1"/>
  <c r="M23" i="24"/>
  <c r="M24" i="24"/>
  <c r="M25" i="24"/>
  <c r="M26" i="24"/>
  <c r="M22" i="24"/>
  <c r="N49" i="17"/>
  <c r="M19" i="8"/>
  <c r="M33" i="4"/>
  <c r="J277" i="17" s="1"/>
  <c r="J278" i="17" s="1"/>
  <c r="L243" i="6"/>
  <c r="L236" i="6"/>
  <c r="L237" i="6" s="1"/>
  <c r="M121" i="4"/>
  <c r="M242" i="6"/>
  <c r="M243" i="6" s="1"/>
  <c r="M203" i="6"/>
  <c r="L258" i="6"/>
  <c r="L259" i="6" s="1"/>
  <c r="M236" i="6"/>
  <c r="P22" i="17"/>
  <c r="X35" i="30"/>
  <c r="X38" i="30" s="1"/>
  <c r="X40" i="30"/>
  <c r="X44" i="30"/>
  <c r="X49" i="30"/>
  <c r="X56" i="30"/>
  <c r="X58" i="30" s="1"/>
  <c r="Y57" i="30"/>
  <c r="Y22" i="30"/>
  <c r="W35" i="30"/>
  <c r="W38" i="30" s="1"/>
  <c r="W40" i="30"/>
  <c r="W44" i="30"/>
  <c r="W56" i="30"/>
  <c r="W58" i="30" s="1"/>
  <c r="Y34" i="30"/>
  <c r="Y43" i="30"/>
  <c r="Y13" i="30"/>
  <c r="Y45" i="30"/>
  <c r="Y47" i="30"/>
  <c r="J8" i="17"/>
  <c r="W72" i="40"/>
  <c r="W88" i="40"/>
  <c r="W79" i="40"/>
  <c r="W34" i="40"/>
  <c r="W100" i="40" s="1"/>
  <c r="W110" i="40"/>
  <c r="W44" i="40"/>
  <c r="W115" i="40" s="1"/>
  <c r="W108" i="40"/>
  <c r="W116" i="40"/>
  <c r="W109" i="40"/>
  <c r="W117" i="40"/>
  <c r="W123" i="40"/>
  <c r="W126" i="40" s="1"/>
  <c r="W125" i="40"/>
  <c r="M72" i="18"/>
  <c r="M48" i="19" s="1"/>
  <c r="M258" i="6"/>
  <c r="M259" i="6" s="1"/>
  <c r="J5" i="17"/>
  <c r="M49" i="4"/>
  <c r="M251" i="6" s="1"/>
  <c r="L5" i="17"/>
  <c r="M79" i="18"/>
  <c r="W49" i="40"/>
  <c r="M123" i="18"/>
  <c r="M126" i="18" s="1"/>
  <c r="L107" i="11"/>
  <c r="X91" i="12"/>
  <c r="Y91" i="12"/>
  <c r="X77" i="12"/>
  <c r="X78" i="12" s="1"/>
  <c r="Y77" i="12"/>
  <c r="Y78" i="12" s="1"/>
  <c r="M95" i="11"/>
  <c r="X57" i="12"/>
  <c r="X58" i="12" s="1"/>
  <c r="X61" i="12"/>
  <c r="X62" i="12" s="1"/>
  <c r="X67" i="12"/>
  <c r="X68" i="12" s="1"/>
  <c r="X69" i="12"/>
  <c r="X70" i="12" s="1"/>
  <c r="W20" i="12"/>
  <c r="W94" i="12"/>
  <c r="W14" i="12"/>
  <c r="W63" i="12"/>
  <c r="W64" i="12" s="1"/>
  <c r="W65" i="12"/>
  <c r="W66" i="12" s="1"/>
  <c r="M14" i="2"/>
  <c r="X59" i="12"/>
  <c r="X60" i="12" s="1"/>
  <c r="Y59" i="12"/>
  <c r="Y60" i="12" s="1"/>
  <c r="X93" i="12"/>
  <c r="Y93" i="12"/>
  <c r="X90" i="12"/>
  <c r="Y90" i="12"/>
  <c r="W49" i="30" s="1"/>
  <c r="X12" i="12"/>
  <c r="X71" i="12"/>
  <c r="X72" i="12" s="1"/>
  <c r="W92" i="12"/>
  <c r="W95" i="12" s="1"/>
  <c r="U49" i="30"/>
  <c r="M20" i="2"/>
  <c r="M24" i="2" s="1"/>
  <c r="X77" i="39"/>
  <c r="Y77" i="39"/>
  <c r="L79" i="6"/>
  <c r="L163" i="6"/>
  <c r="L164" i="6" s="1"/>
  <c r="L144" i="6"/>
  <c r="L145" i="6" s="1"/>
  <c r="X81" i="39"/>
  <c r="Y81" i="39"/>
  <c r="L124" i="6"/>
  <c r="Y80" i="39"/>
  <c r="L107" i="6"/>
  <c r="L110" i="6" s="1"/>
  <c r="L111" i="6" s="1"/>
  <c r="X80" i="39"/>
  <c r="X78" i="39"/>
  <c r="Y78" i="39"/>
  <c r="M29" i="26"/>
  <c r="M30" i="26" s="1"/>
  <c r="J241" i="17"/>
  <c r="U128" i="41"/>
  <c r="U98" i="41" s="1"/>
  <c r="U96" i="41"/>
  <c r="U106" i="41"/>
  <c r="U95" i="41"/>
  <c r="U94" i="41"/>
  <c r="U97" i="41"/>
  <c r="U93" i="41"/>
  <c r="M84" i="4"/>
  <c r="M85" i="4" s="1"/>
  <c r="M247" i="6"/>
  <c r="M249" i="6" s="1"/>
  <c r="M21" i="26"/>
  <c r="M22" i="26" s="1"/>
  <c r="M110" i="18"/>
  <c r="M64" i="19"/>
  <c r="M63" i="27"/>
  <c r="J207" i="17"/>
  <c r="J264" i="17"/>
  <c r="M53" i="27"/>
  <c r="M114" i="4"/>
  <c r="M86" i="4"/>
  <c r="N61" i="17" s="1"/>
  <c r="M119" i="4"/>
  <c r="I114" i="41"/>
  <c r="M79" i="4"/>
  <c r="M88" i="4"/>
  <c r="M45" i="27"/>
  <c r="M72" i="4"/>
  <c r="M48" i="27" s="1"/>
  <c r="J261" i="17"/>
  <c r="J263" i="17" s="1"/>
  <c r="V80" i="39"/>
  <c r="T80" i="39"/>
  <c r="M107" i="6"/>
  <c r="M10" i="26"/>
  <c r="S80" i="39"/>
  <c r="W80" i="39"/>
  <c r="U80" i="39"/>
  <c r="L80" i="39"/>
  <c r="O80" i="39"/>
  <c r="M80" i="39"/>
  <c r="P80" i="39"/>
  <c r="K80" i="39"/>
  <c r="Q80" i="39"/>
  <c r="J80" i="39"/>
  <c r="R80" i="39"/>
  <c r="M134" i="6"/>
  <c r="M18" i="26"/>
  <c r="W77" i="39"/>
  <c r="T77" i="39"/>
  <c r="U77" i="39"/>
  <c r="M79" i="6"/>
  <c r="M135" i="6" s="1"/>
  <c r="V77" i="39"/>
  <c r="S77" i="39"/>
  <c r="O77" i="39"/>
  <c r="K77" i="39"/>
  <c r="J77" i="39"/>
  <c r="P77" i="39"/>
  <c r="Q77" i="39"/>
  <c r="M77" i="39"/>
  <c r="R77" i="39"/>
  <c r="L77" i="39"/>
  <c r="M124" i="6"/>
  <c r="M204" i="6" s="1"/>
  <c r="J81" i="39"/>
  <c r="Q81" i="39"/>
  <c r="M14" i="26"/>
  <c r="L81" i="39"/>
  <c r="M81" i="39"/>
  <c r="P81" i="39"/>
  <c r="O81" i="39"/>
  <c r="R81" i="39"/>
  <c r="T81" i="39"/>
  <c r="V81" i="39"/>
  <c r="W81" i="39"/>
  <c r="U81" i="39"/>
  <c r="K81" i="39"/>
  <c r="S81" i="39"/>
  <c r="M87" i="18"/>
  <c r="M120" i="18"/>
  <c r="M89" i="6"/>
  <c r="M90" i="6" s="1"/>
  <c r="M104" i="4"/>
  <c r="M92" i="6"/>
  <c r="M104" i="6" s="1"/>
  <c r="M105" i="6" s="1"/>
  <c r="M12" i="26"/>
  <c r="M28" i="26"/>
  <c r="M141" i="6"/>
  <c r="M163" i="6" s="1"/>
  <c r="K67" i="12"/>
  <c r="M50" i="11"/>
  <c r="M35" i="6"/>
  <c r="N44" i="17" s="1"/>
  <c r="N46" i="17" s="1"/>
  <c r="I67" i="13"/>
  <c r="M67" i="11"/>
  <c r="M68" i="11" s="1"/>
  <c r="M23" i="6"/>
  <c r="M61" i="11"/>
  <c r="M62" i="11" s="1"/>
  <c r="M59" i="11"/>
  <c r="M60" i="11" s="1"/>
  <c r="M57" i="11"/>
  <c r="M58" i="11" s="1"/>
  <c r="M46" i="6"/>
  <c r="M71" i="8"/>
  <c r="M72" i="8" s="1"/>
  <c r="M69" i="8"/>
  <c r="M70" i="8" s="1"/>
  <c r="M73" i="8"/>
  <c r="M74" i="8" s="1"/>
  <c r="M75" i="8"/>
  <c r="M76" i="8" s="1"/>
  <c r="M68" i="6"/>
  <c r="M69" i="6" s="1"/>
  <c r="M93" i="6"/>
  <c r="M103" i="6"/>
  <c r="M143" i="6"/>
  <c r="M44" i="27"/>
  <c r="M56" i="27"/>
  <c r="M35" i="27"/>
  <c r="M38" i="27" s="1"/>
  <c r="M40" i="27"/>
  <c r="M49" i="27"/>
  <c r="M81" i="6"/>
  <c r="K71" i="12"/>
  <c r="M48" i="6"/>
  <c r="I71" i="13"/>
  <c r="M38" i="6"/>
  <c r="M41" i="6"/>
  <c r="M71" i="11"/>
  <c r="M72" i="11" s="1"/>
  <c r="V78" i="39"/>
  <c r="S78" i="39"/>
  <c r="P78" i="39"/>
  <c r="J78" i="39"/>
  <c r="T78" i="39"/>
  <c r="K78" i="39"/>
  <c r="O78" i="39"/>
  <c r="W78" i="39"/>
  <c r="M52" i="11"/>
  <c r="R78" i="39"/>
  <c r="L78" i="39"/>
  <c r="U78" i="39"/>
  <c r="Q78" i="39"/>
  <c r="M78" i="39"/>
  <c r="M69" i="25"/>
  <c r="M70" i="25" s="1"/>
  <c r="M57" i="25"/>
  <c r="M58" i="25" s="1"/>
  <c r="M63" i="25"/>
  <c r="M64" i="25" s="1"/>
  <c r="M53" i="25"/>
  <c r="M54" i="25" s="1"/>
  <c r="M63" i="26"/>
  <c r="M64" i="26" s="1"/>
  <c r="M65" i="25"/>
  <c r="M66" i="25" s="1"/>
  <c r="M55" i="25"/>
  <c r="M56" i="25" s="1"/>
  <c r="M51" i="25"/>
  <c r="M52" i="25" s="1"/>
  <c r="M57" i="26"/>
  <c r="M58" i="26" s="1"/>
  <c r="M59" i="25"/>
  <c r="M60" i="25" s="1"/>
  <c r="M67" i="25"/>
  <c r="M68" i="25" s="1"/>
  <c r="M61" i="25"/>
  <c r="M62" i="25" s="1"/>
  <c r="M49" i="25"/>
  <c r="M50" i="25" s="1"/>
  <c r="M67" i="26"/>
  <c r="M68" i="26" s="1"/>
  <c r="M55" i="26"/>
  <c r="L132" i="6" s="1"/>
  <c r="L133" i="6" s="1"/>
  <c r="M53" i="26"/>
  <c r="M54" i="26" s="1"/>
  <c r="M65" i="26"/>
  <c r="M66" i="26" s="1"/>
  <c r="M49" i="26"/>
  <c r="M50" i="26" s="1"/>
  <c r="M51" i="26"/>
  <c r="M52" i="26" s="1"/>
  <c r="M94" i="6"/>
  <c r="M99" i="6" s="1"/>
  <c r="M66" i="6"/>
  <c r="M67" i="6" s="1"/>
  <c r="M64" i="6"/>
  <c r="M65" i="6" s="1"/>
  <c r="L4" i="17"/>
  <c r="M41" i="19"/>
  <c r="J4" i="17"/>
  <c r="M44" i="6"/>
  <c r="M47" i="6"/>
  <c r="M16" i="6"/>
  <c r="M17" i="6" s="1"/>
  <c r="J133" i="17"/>
  <c r="Z37" i="17"/>
  <c r="AA37" i="17"/>
  <c r="Z39" i="17"/>
  <c r="AA39" i="17"/>
  <c r="Z41" i="17"/>
  <c r="AA41" i="17"/>
  <c r="J83" i="6"/>
  <c r="I83" i="6"/>
  <c r="J36" i="17"/>
  <c r="I87" i="2"/>
  <c r="J38" i="17"/>
  <c r="J10" i="17"/>
  <c r="I133" i="6"/>
  <c r="J133" i="6"/>
  <c r="J40" i="17"/>
  <c r="Z42" i="17"/>
  <c r="J42" i="17"/>
  <c r="L107" i="2" l="1"/>
  <c r="M123" i="4"/>
  <c r="M126" i="4" s="1"/>
  <c r="M81" i="11"/>
  <c r="M28" i="11"/>
  <c r="J12" i="17"/>
  <c r="M97" i="11"/>
  <c r="N18" i="17" s="1"/>
  <c r="M237" i="6"/>
  <c r="M111" i="4"/>
  <c r="M117" i="4"/>
  <c r="Z109" i="40"/>
  <c r="Z112" i="40" s="1"/>
  <c r="Z117" i="40"/>
  <c r="Z44" i="40"/>
  <c r="Z115" i="40" s="1"/>
  <c r="Z116" i="40"/>
  <c r="Z68" i="40"/>
  <c r="Z58" i="40"/>
  <c r="Z99" i="40"/>
  <c r="Z100" i="40"/>
  <c r="Z72" i="40"/>
  <c r="Z79" i="40"/>
  <c r="Z88" i="40"/>
  <c r="M98" i="11"/>
  <c r="M32" i="25"/>
  <c r="M36" i="25"/>
  <c r="Z26" i="12"/>
  <c r="Z79" i="12"/>
  <c r="Z80" i="12" s="1"/>
  <c r="Y41" i="36"/>
  <c r="Y43" i="36"/>
  <c r="Z98" i="12"/>
  <c r="Z28" i="12"/>
  <c r="Z81" i="12"/>
  <c r="Z76" i="12"/>
  <c r="Z82" i="12"/>
  <c r="Y37" i="36"/>
  <c r="Y42" i="36"/>
  <c r="Y71" i="36"/>
  <c r="Y72" i="36" s="1"/>
  <c r="Y45" i="36"/>
  <c r="Y33" i="36"/>
  <c r="Y32" i="36"/>
  <c r="Y40" i="36"/>
  <c r="Y38" i="36"/>
  <c r="Y39" i="36"/>
  <c r="Y44" i="36"/>
  <c r="Y46" i="36"/>
  <c r="Z64" i="39"/>
  <c r="Z65" i="39" s="1"/>
  <c r="Z66" i="39" s="1"/>
  <c r="Z67" i="39" s="1"/>
  <c r="Z78" i="39"/>
  <c r="Z34" i="39"/>
  <c r="Z56" i="39"/>
  <c r="Z57" i="39" s="1"/>
  <c r="Z32" i="39"/>
  <c r="Z35" i="39"/>
  <c r="P24" i="17"/>
  <c r="Y92" i="12"/>
  <c r="Y46" i="30"/>
  <c r="P25" i="17"/>
  <c r="P26" i="17" s="1"/>
  <c r="V49" i="30"/>
  <c r="X46" i="30"/>
  <c r="X92" i="12"/>
  <c r="J273" i="17"/>
  <c r="J274" i="17" s="1"/>
  <c r="J279" i="17" s="1"/>
  <c r="M112" i="18"/>
  <c r="M100" i="18"/>
  <c r="L105" i="11"/>
  <c r="M58" i="18"/>
  <c r="M68" i="18"/>
  <c r="M109" i="4"/>
  <c r="M253" i="6"/>
  <c r="M254" i="6" s="1"/>
  <c r="W24" i="12"/>
  <c r="V19" i="36"/>
  <c r="W26" i="12"/>
  <c r="W120" i="40"/>
  <c r="W87" i="40"/>
  <c r="W26" i="34"/>
  <c r="W52" i="34"/>
  <c r="W53" i="34" s="1"/>
  <c r="W77" i="34"/>
  <c r="W78" i="34" s="1"/>
  <c r="W25" i="34"/>
  <c r="W23" i="34"/>
  <c r="W24" i="34"/>
  <c r="W39" i="34"/>
  <c r="W40" i="34" s="1"/>
  <c r="W66" i="34"/>
  <c r="W67" i="34" s="1"/>
  <c r="W22" i="34"/>
  <c r="J287" i="17"/>
  <c r="J290" i="17" s="1"/>
  <c r="M51" i="19"/>
  <c r="M116" i="4"/>
  <c r="M44" i="4"/>
  <c r="M115" i="4" s="1"/>
  <c r="M108" i="4"/>
  <c r="M91" i="18"/>
  <c r="M205" i="6"/>
  <c r="M51" i="2"/>
  <c r="M54" i="2"/>
  <c r="M27" i="24"/>
  <c r="M53" i="2"/>
  <c r="M77" i="2"/>
  <c r="M78" i="2" s="1"/>
  <c r="M69" i="2"/>
  <c r="M70" i="2" s="1"/>
  <c r="M39" i="8"/>
  <c r="M52" i="8"/>
  <c r="M66" i="8"/>
  <c r="M67" i="8" s="1"/>
  <c r="M20" i="8"/>
  <c r="M23" i="8"/>
  <c r="M24" i="8"/>
  <c r="M25" i="8"/>
  <c r="M26" i="8"/>
  <c r="M22" i="8"/>
  <c r="L251" i="6"/>
  <c r="L253" i="6" s="1"/>
  <c r="L254" i="6" s="1"/>
  <c r="M92" i="18"/>
  <c r="M105" i="18"/>
  <c r="M75" i="18"/>
  <c r="M127" i="18"/>
  <c r="M129" i="18" s="1"/>
  <c r="Y49" i="30"/>
  <c r="Y56" i="30"/>
  <c r="Y58" i="30" s="1"/>
  <c r="Y35" i="30"/>
  <c r="Y38" i="30" s="1"/>
  <c r="Y40" i="30"/>
  <c r="Y44" i="30"/>
  <c r="W112" i="40"/>
  <c r="W58" i="40"/>
  <c r="W68" i="40"/>
  <c r="W99" i="40"/>
  <c r="W75" i="40"/>
  <c r="W47" i="30" s="1"/>
  <c r="W90" i="40"/>
  <c r="W91" i="40"/>
  <c r="W92" i="40"/>
  <c r="W105" i="40"/>
  <c r="W127" i="40"/>
  <c r="Y12" i="12"/>
  <c r="Y71" i="12"/>
  <c r="Y72" i="12" s="1"/>
  <c r="Y57" i="12"/>
  <c r="Y58" i="12" s="1"/>
  <c r="Y61" i="12"/>
  <c r="Y62" i="12" s="1"/>
  <c r="Y67" i="12"/>
  <c r="Y68" i="12" s="1"/>
  <c r="Y69" i="12"/>
  <c r="Y70" i="12" s="1"/>
  <c r="Y13" i="12"/>
  <c r="M75" i="2"/>
  <c r="M79" i="2"/>
  <c r="M80" i="2" s="1"/>
  <c r="M25" i="2"/>
  <c r="J239" i="17"/>
  <c r="J243" i="17" s="1"/>
  <c r="X20" i="12"/>
  <c r="X94" i="12"/>
  <c r="X95" i="12" s="1"/>
  <c r="X14" i="12"/>
  <c r="X63" i="12"/>
  <c r="X64" i="12" s="1"/>
  <c r="X65" i="12"/>
  <c r="X66" i="12" s="1"/>
  <c r="M26" i="2"/>
  <c r="W28" i="12"/>
  <c r="W81" i="12"/>
  <c r="W98" i="12"/>
  <c r="W25" i="12"/>
  <c r="W75" i="12"/>
  <c r="W79" i="12"/>
  <c r="W80" i="12" s="1"/>
  <c r="M19" i="26"/>
  <c r="M59" i="26" s="1"/>
  <c r="M60" i="26" s="1"/>
  <c r="M61" i="26"/>
  <c r="M62" i="26" s="1"/>
  <c r="L204" i="6"/>
  <c r="L205" i="6" s="1"/>
  <c r="L125" i="6"/>
  <c r="L126" i="6" s="1"/>
  <c r="L127" i="6" s="1"/>
  <c r="L82" i="6"/>
  <c r="L83" i="6" s="1"/>
  <c r="L135" i="6"/>
  <c r="L136" i="6" s="1"/>
  <c r="M39" i="25"/>
  <c r="M40" i="25"/>
  <c r="M71" i="25"/>
  <c r="M72" i="25" s="1"/>
  <c r="M45" i="25"/>
  <c r="M44" i="25"/>
  <c r="M46" i="25"/>
  <c r="M69" i="26"/>
  <c r="M70" i="26" s="1"/>
  <c r="M43" i="25"/>
  <c r="M42" i="25"/>
  <c r="M41" i="25"/>
  <c r="M37" i="25"/>
  <c r="M38" i="25"/>
  <c r="M51" i="27"/>
  <c r="M77" i="8"/>
  <c r="M78" i="8" s="1"/>
  <c r="M82" i="6"/>
  <c r="M83" i="6" s="1"/>
  <c r="M125" i="6"/>
  <c r="M126" i="6" s="1"/>
  <c r="M127" i="6" s="1"/>
  <c r="M144" i="6"/>
  <c r="M145" i="6" s="1"/>
  <c r="J265" i="17"/>
  <c r="M87" i="4"/>
  <c r="J209" i="17"/>
  <c r="J211" i="17" s="1"/>
  <c r="J212" i="17" s="1"/>
  <c r="M120" i="4"/>
  <c r="M90" i="18"/>
  <c r="M99" i="11"/>
  <c r="M30" i="11"/>
  <c r="N21" i="17" s="1"/>
  <c r="I90" i="40"/>
  <c r="M91" i="4"/>
  <c r="M105" i="4"/>
  <c r="M75" i="4"/>
  <c r="N58" i="17" s="1"/>
  <c r="M92" i="4"/>
  <c r="M127" i="4"/>
  <c r="M136" i="6"/>
  <c r="J285" i="17"/>
  <c r="M34" i="4"/>
  <c r="M110" i="4"/>
  <c r="I72" i="13"/>
  <c r="M72" i="13"/>
  <c r="M60" i="6"/>
  <c r="M61" i="6" s="1"/>
  <c r="M108" i="6"/>
  <c r="M76" i="26"/>
  <c r="M76" i="25"/>
  <c r="M77" i="25" s="1"/>
  <c r="M50" i="6"/>
  <c r="M51" i="6" s="1"/>
  <c r="J302" i="17"/>
  <c r="J307" i="17" s="1"/>
  <c r="J313" i="17" s="1"/>
  <c r="M58" i="27"/>
  <c r="M64" i="27" s="1"/>
  <c r="N60" i="17" s="1"/>
  <c r="M54" i="6"/>
  <c r="M55" i="6" s="1"/>
  <c r="M54" i="11"/>
  <c r="M51" i="11"/>
  <c r="M63" i="11"/>
  <c r="M64" i="11" s="1"/>
  <c r="M52" i="6"/>
  <c r="M53" i="6" s="1"/>
  <c r="M56" i="26"/>
  <c r="M132" i="6"/>
  <c r="M133" i="6" s="1"/>
  <c r="M53" i="11"/>
  <c r="M69" i="11"/>
  <c r="M70" i="11" s="1"/>
  <c r="M77" i="11"/>
  <c r="M78" i="11" s="1"/>
  <c r="M75" i="11"/>
  <c r="M65" i="11"/>
  <c r="M66" i="11" s="1"/>
  <c r="M79" i="11"/>
  <c r="M80" i="11" s="1"/>
  <c r="K72" i="12"/>
  <c r="O72" i="12"/>
  <c r="I68" i="13"/>
  <c r="M68" i="13"/>
  <c r="M56" i="6"/>
  <c r="M57" i="6" s="1"/>
  <c r="M58" i="6"/>
  <c r="M59" i="6" s="1"/>
  <c r="K68" i="12"/>
  <c r="O68" i="12"/>
  <c r="J37" i="17"/>
  <c r="K37" i="17"/>
  <c r="J39" i="17"/>
  <c r="K39" i="17"/>
  <c r="J41" i="17"/>
  <c r="K41" i="17"/>
  <c r="J43" i="17"/>
  <c r="K43" i="17"/>
  <c r="Z43" i="17"/>
  <c r="AA43" i="17"/>
  <c r="J245" i="17"/>
  <c r="J129" i="17"/>
  <c r="J130" i="17"/>
  <c r="J244" i="17"/>
  <c r="M65" i="19" l="1"/>
  <c r="Z90" i="40"/>
  <c r="Z91" i="40"/>
  <c r="Z75" i="40"/>
  <c r="Z92" i="40"/>
  <c r="Z105" i="40"/>
  <c r="Z127" i="40"/>
  <c r="Y47" i="36"/>
  <c r="Y73" i="36"/>
  <c r="Y74" i="36" s="1"/>
  <c r="Y34" i="36"/>
  <c r="Z30" i="12"/>
  <c r="Z99" i="12"/>
  <c r="M50" i="19"/>
  <c r="Y19" i="34"/>
  <c r="Y119" i="40"/>
  <c r="Y97" i="40"/>
  <c r="Y86" i="40"/>
  <c r="M112" i="4"/>
  <c r="X24" i="12"/>
  <c r="X87" i="40" s="1"/>
  <c r="W19" i="36"/>
  <c r="M106" i="18"/>
  <c r="N26" i="17"/>
  <c r="V20" i="36"/>
  <c r="V59" i="36"/>
  <c r="V60" i="36" s="1"/>
  <c r="V31" i="36"/>
  <c r="V41" i="36"/>
  <c r="W27" i="34"/>
  <c r="M94" i="18"/>
  <c r="N17" i="17" s="1"/>
  <c r="M97" i="18"/>
  <c r="J213" i="17"/>
  <c r="J266" i="17" s="1"/>
  <c r="N50" i="17"/>
  <c r="N38" i="17"/>
  <c r="N39" i="17" s="1"/>
  <c r="M53" i="8"/>
  <c r="M27" i="8"/>
  <c r="N36" i="17"/>
  <c r="N37" i="17" s="1"/>
  <c r="M40" i="8"/>
  <c r="M52" i="19"/>
  <c r="M95" i="18"/>
  <c r="M93" i="18"/>
  <c r="N23" i="17" s="1"/>
  <c r="M128" i="18"/>
  <c r="M98" i="18" s="1"/>
  <c r="M47" i="19"/>
  <c r="L106" i="11"/>
  <c r="M96" i="18"/>
  <c r="L105" i="2"/>
  <c r="N55" i="17"/>
  <c r="W93" i="40"/>
  <c r="W94" i="40"/>
  <c r="W95" i="40"/>
  <c r="W96" i="40"/>
  <c r="W97" i="40"/>
  <c r="W106" i="40"/>
  <c r="W128" i="40"/>
  <c r="W98" i="40" s="1"/>
  <c r="M31" i="26"/>
  <c r="M44" i="26" s="1"/>
  <c r="L87" i="11"/>
  <c r="M82" i="2"/>
  <c r="M76" i="2"/>
  <c r="M20" i="26"/>
  <c r="M47" i="25"/>
  <c r="Y14" i="12"/>
  <c r="Y63" i="12"/>
  <c r="Y64" i="12" s="1"/>
  <c r="Y65" i="12"/>
  <c r="Y66" i="12" s="1"/>
  <c r="M97" i="2"/>
  <c r="M28" i="2"/>
  <c r="M81" i="2"/>
  <c r="N51" i="17" s="1"/>
  <c r="M98" i="2"/>
  <c r="W76" i="12"/>
  <c r="W82" i="12"/>
  <c r="W30" i="12"/>
  <c r="W99" i="12"/>
  <c r="Y20" i="12"/>
  <c r="Y94" i="12"/>
  <c r="Y95" i="12" s="1"/>
  <c r="M52" i="27"/>
  <c r="L106" i="2"/>
  <c r="M87" i="11"/>
  <c r="M73" i="25"/>
  <c r="M85" i="11"/>
  <c r="M86" i="11" s="1"/>
  <c r="M83" i="11"/>
  <c r="M84" i="11" s="1"/>
  <c r="J292" i="17"/>
  <c r="J294" i="17"/>
  <c r="M128" i="4"/>
  <c r="M95" i="4"/>
  <c r="M96" i="4"/>
  <c r="M47" i="27"/>
  <c r="M50" i="27"/>
  <c r="M94" i="4"/>
  <c r="M106" i="4"/>
  <c r="M97" i="4"/>
  <c r="M93" i="4"/>
  <c r="N59" i="17" s="1"/>
  <c r="J11" i="17"/>
  <c r="M58" i="4"/>
  <c r="M99" i="4"/>
  <c r="L11" i="17"/>
  <c r="M68" i="4"/>
  <c r="N22" i="17" s="1"/>
  <c r="M100" i="4"/>
  <c r="M105" i="11"/>
  <c r="M106" i="11"/>
  <c r="M37" i="11"/>
  <c r="M101" i="11"/>
  <c r="M102" i="11"/>
  <c r="M103" i="11"/>
  <c r="M113" i="6"/>
  <c r="M109" i="6"/>
  <c r="M110" i="6"/>
  <c r="M111" i="6" s="1"/>
  <c r="M76" i="11"/>
  <c r="M82" i="11"/>
  <c r="Z94" i="40" l="1"/>
  <c r="Z106" i="40"/>
  <c r="Z95" i="40"/>
  <c r="Z96" i="40"/>
  <c r="Z128" i="40"/>
  <c r="Z98" i="40" s="1"/>
  <c r="Z93" i="40"/>
  <c r="Z97" i="40"/>
  <c r="Z102" i="12"/>
  <c r="Z37" i="12"/>
  <c r="Z43" i="12" s="1"/>
  <c r="Z45" i="12" s="1"/>
  <c r="Z47" i="12" s="1"/>
  <c r="Z101" i="12"/>
  <c r="Z103" i="12"/>
  <c r="Z85" i="12"/>
  <c r="Z86" i="12" s="1"/>
  <c r="Z83" i="12"/>
  <c r="Y24" i="12"/>
  <c r="X19" i="36"/>
  <c r="Y39" i="34"/>
  <c r="Y40" i="34" s="1"/>
  <c r="Y66" i="34"/>
  <c r="Y67" i="34" s="1"/>
  <c r="Y77" i="34"/>
  <c r="Y78" i="34" s="1"/>
  <c r="Y23" i="34"/>
  <c r="Y24" i="34"/>
  <c r="Y25" i="34"/>
  <c r="Y26" i="34"/>
  <c r="Y52" i="34"/>
  <c r="Y53" i="34" s="1"/>
  <c r="Y22" i="34"/>
  <c r="Y27" i="34" s="1"/>
  <c r="X79" i="12"/>
  <c r="X80" i="12" s="1"/>
  <c r="X25" i="12"/>
  <c r="X75" i="12"/>
  <c r="Y120" i="40"/>
  <c r="Y87" i="40"/>
  <c r="W20" i="36"/>
  <c r="W59" i="36"/>
  <c r="W60" i="36" s="1"/>
  <c r="W31" i="36"/>
  <c r="W41" i="36" s="1"/>
  <c r="X26" i="12"/>
  <c r="X120" i="40"/>
  <c r="V33" i="36"/>
  <c r="V39" i="36"/>
  <c r="V43" i="36"/>
  <c r="V71" i="36"/>
  <c r="V72" i="36" s="1"/>
  <c r="V42" i="36"/>
  <c r="V46" i="36"/>
  <c r="V32" i="36"/>
  <c r="V40" i="36"/>
  <c r="V44" i="36"/>
  <c r="V36" i="36"/>
  <c r="V38" i="36"/>
  <c r="V37" i="36"/>
  <c r="V45" i="36"/>
  <c r="J214" i="17"/>
  <c r="J301" i="17"/>
  <c r="J304" i="17" s="1"/>
  <c r="M39" i="26"/>
  <c r="M74" i="25"/>
  <c r="N42" i="17"/>
  <c r="N43" i="17" s="1"/>
  <c r="M36" i="26"/>
  <c r="M45" i="26"/>
  <c r="M32" i="26"/>
  <c r="M130" i="18"/>
  <c r="M43" i="26"/>
  <c r="M40" i="26"/>
  <c r="M33" i="26"/>
  <c r="M73" i="26" s="1"/>
  <c r="M74" i="26" s="1"/>
  <c r="M38" i="26"/>
  <c r="M46" i="26"/>
  <c r="M71" i="26"/>
  <c r="M72" i="26" s="1"/>
  <c r="M41" i="26"/>
  <c r="M37" i="26"/>
  <c r="M42" i="26"/>
  <c r="M30" i="2"/>
  <c r="N52" i="17" s="1"/>
  <c r="M99" i="2"/>
  <c r="I90" i="41"/>
  <c r="M129" i="4"/>
  <c r="Y75" i="12"/>
  <c r="Y79" i="12"/>
  <c r="Y80" i="12" s="1"/>
  <c r="Y25" i="12"/>
  <c r="X76" i="12"/>
  <c r="X82" i="12"/>
  <c r="M90" i="4"/>
  <c r="Y26" i="12"/>
  <c r="W37" i="12"/>
  <c r="W43" i="12" s="1"/>
  <c r="W45" i="12" s="1"/>
  <c r="W47" i="12" s="1"/>
  <c r="W101" i="12"/>
  <c r="W102" i="12"/>
  <c r="W103" i="12"/>
  <c r="W85" i="12"/>
  <c r="W86" i="12" s="1"/>
  <c r="W83" i="12"/>
  <c r="M88" i="11"/>
  <c r="J6" i="17"/>
  <c r="L6" i="17"/>
  <c r="M43" i="11"/>
  <c r="M45" i="11" s="1"/>
  <c r="M47" i="11" s="1"/>
  <c r="M107" i="11" s="1"/>
  <c r="M98" i="4"/>
  <c r="M130" i="4"/>
  <c r="Z88" i="12" l="1"/>
  <c r="Z84" i="12"/>
  <c r="X20" i="36"/>
  <c r="X59" i="36"/>
  <c r="X60" i="36" s="1"/>
  <c r="X31" i="36"/>
  <c r="X41" i="36" s="1"/>
  <c r="X93" i="40"/>
  <c r="X98" i="40"/>
  <c r="Y98" i="40"/>
  <c r="Y93" i="40"/>
  <c r="X28" i="12"/>
  <c r="X81" i="12"/>
  <c r="X98" i="12"/>
  <c r="W37" i="36"/>
  <c r="W36" i="36"/>
  <c r="W43" i="36"/>
  <c r="W40" i="36"/>
  <c r="W44" i="36"/>
  <c r="W33" i="36"/>
  <c r="W45" i="36"/>
  <c r="W39" i="36"/>
  <c r="W38" i="36"/>
  <c r="W42" i="36"/>
  <c r="W46" i="36"/>
  <c r="W32" i="36"/>
  <c r="W71" i="36"/>
  <c r="W72" i="36" s="1"/>
  <c r="M34" i="26"/>
  <c r="V47" i="36"/>
  <c r="V73" i="36"/>
  <c r="V74" i="36" s="1"/>
  <c r="V34" i="36"/>
  <c r="L87" i="2"/>
  <c r="N40" i="17"/>
  <c r="N41" i="17" s="1"/>
  <c r="M47" i="26"/>
  <c r="L10" i="17"/>
  <c r="W84" i="12"/>
  <c r="W88" i="12"/>
  <c r="Y28" i="12"/>
  <c r="Y81" i="12"/>
  <c r="Y98" i="12"/>
  <c r="Y76" i="12"/>
  <c r="Y82" i="12"/>
  <c r="M102" i="2"/>
  <c r="M103" i="2"/>
  <c r="M105" i="2"/>
  <c r="M101" i="2"/>
  <c r="N53" i="17" s="1"/>
  <c r="M37" i="2"/>
  <c r="M43" i="2" s="1"/>
  <c r="M45" i="2" s="1"/>
  <c r="M47" i="2" s="1"/>
  <c r="M107" i="2" s="1"/>
  <c r="M85" i="2"/>
  <c r="M86" i="2" s="1"/>
  <c r="M83" i="2"/>
  <c r="M106" i="2"/>
  <c r="X37" i="36" l="1"/>
  <c r="X33" i="36"/>
  <c r="X36" i="36"/>
  <c r="X39" i="36"/>
  <c r="X40" i="36"/>
  <c r="X32" i="36"/>
  <c r="X46" i="36"/>
  <c r="X45" i="36"/>
  <c r="X42" i="36"/>
  <c r="X71" i="36"/>
  <c r="X72" i="36" s="1"/>
  <c r="X43" i="36"/>
  <c r="X38" i="36"/>
  <c r="X44" i="36"/>
  <c r="W47" i="36"/>
  <c r="X30" i="12"/>
  <c r="X99" i="12"/>
  <c r="W34" i="36"/>
  <c r="W73" i="36"/>
  <c r="W74" i="36" s="1"/>
  <c r="J216" i="17"/>
  <c r="J217" i="17" s="1"/>
  <c r="M84" i="2"/>
  <c r="M88" i="2"/>
  <c r="J45" i="17" s="1"/>
  <c r="J184" i="17" s="1"/>
  <c r="Y30" i="12"/>
  <c r="Y99" i="12"/>
  <c r="X34" i="36" l="1"/>
  <c r="X73" i="36"/>
  <c r="X74" i="36" s="1"/>
  <c r="X47" i="36"/>
  <c r="X83" i="12"/>
  <c r="X37" i="12"/>
  <c r="X43" i="12" s="1"/>
  <c r="X45" i="12" s="1"/>
  <c r="X47" i="12" s="1"/>
  <c r="X85" i="12"/>
  <c r="X86" i="12" s="1"/>
  <c r="X101" i="12"/>
  <c r="X102" i="12"/>
  <c r="X103" i="12"/>
  <c r="J46" i="17"/>
  <c r="Y102" i="12"/>
  <c r="Y37" i="12"/>
  <c r="Y43" i="12" s="1"/>
  <c r="Y45" i="12" s="1"/>
  <c r="Y47" i="12" s="1"/>
  <c r="Y101" i="12"/>
  <c r="Y103" i="12"/>
  <c r="Y83" i="12"/>
  <c r="Y85" i="12"/>
  <c r="Y86" i="12" s="1"/>
  <c r="X88" i="12" l="1"/>
  <c r="X84" i="12"/>
  <c r="Y88" i="12"/>
  <c r="AD45" i="17" s="1"/>
  <c r="AD46" i="17" s="1"/>
  <c r="Y8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Ronan Murphy</author>
  </authors>
  <commentList>
    <comment ref="M3" authorId="0" shapeId="0" xr:uid="{00000000-0006-0000-0300-000001000000}">
      <text>
        <r>
          <rPr>
            <b/>
            <sz val="9"/>
            <color indexed="81"/>
            <rFont val="Tahoma"/>
            <family val="2"/>
          </rPr>
          <t>Ronan Murphy:</t>
        </r>
        <r>
          <rPr>
            <sz val="9"/>
            <color indexed="81"/>
            <rFont val="Tahoma"/>
            <family val="2"/>
          </rPr>
          <t xml:space="preserve">
Needs to be hard coded</t>
        </r>
      </text>
    </comment>
    <comment ref="A22" authorId="0" shapeId="0" xr:uid="{066B845E-AEC1-461D-92C5-A8B9E4A65ED9}">
      <text>
        <r>
          <rPr>
            <b/>
            <sz val="9"/>
            <color indexed="81"/>
            <rFont val="Tahoma"/>
            <family val="2"/>
          </rPr>
          <t>Ronan Murphy:</t>
        </r>
        <r>
          <rPr>
            <sz val="9"/>
            <color indexed="81"/>
            <rFont val="Tahoma"/>
            <family val="2"/>
          </rPr>
          <t xml:space="preserve">
Add manuallly if airline makes the data available</t>
        </r>
      </text>
    </comment>
    <comment ref="B102" authorId="0" shapeId="0" xr:uid="{F1B4FBFB-9C35-4160-B656-311CF502C70F}">
      <text>
        <r>
          <rPr>
            <b/>
            <sz val="9"/>
            <color indexed="81"/>
            <rFont val="Tahoma"/>
            <family val="2"/>
          </rPr>
          <t>Ronan Murphy:</t>
        </r>
        <r>
          <rPr>
            <sz val="9"/>
            <color indexed="81"/>
            <rFont val="Tahoma"/>
            <family val="2"/>
          </rPr>
          <t xml:space="preserve">
Need to convert what ever is given either toones or litres to gallons using either factor</t>
        </r>
      </text>
    </comment>
    <comment ref="A146" authorId="0" shapeId="0" xr:uid="{4939B9B0-4848-47B9-ABC1-993460AA4819}">
      <text>
        <r>
          <rPr>
            <b/>
            <sz val="9"/>
            <color indexed="81"/>
            <rFont val="Tahoma"/>
            <family val="2"/>
          </rPr>
          <t>Ronan Murphy:</t>
        </r>
        <r>
          <rPr>
            <sz val="9"/>
            <color indexed="81"/>
            <rFont val="Tahoma"/>
            <family val="2"/>
          </rPr>
          <t xml:space="preserve">
Need to solve for thiis makiong best estrimates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Ronan Murphy</author>
  </authors>
  <commentList>
    <comment ref="F5" authorId="0" shapeId="0" xr:uid="{00000000-0006-0000-0D00-000001000000}">
      <text>
        <r>
          <rPr>
            <b/>
            <sz val="9"/>
            <color indexed="81"/>
            <rFont val="Tahoma"/>
            <family val="2"/>
          </rPr>
          <t>Ronan Murphy:</t>
        </r>
        <r>
          <rPr>
            <sz val="9"/>
            <color indexed="81"/>
            <rFont val="Tahoma"/>
            <family val="2"/>
          </rPr>
          <t xml:space="preserve">
No debt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Nhan Duong</author>
    <author>Hikaru Tsukagoshi</author>
  </authors>
  <commentList>
    <comment ref="L15" authorId="0" shapeId="0" xr:uid="{8543B21C-0520-4F05-9240-FB55138CDAAD}">
      <text>
        <r>
          <rPr>
            <b/>
            <sz val="9"/>
            <color indexed="81"/>
            <rFont val="Tahoma"/>
            <family val="2"/>
          </rPr>
          <t>Nhan Duong:</t>
        </r>
        <r>
          <rPr>
            <sz val="9"/>
            <color indexed="81"/>
            <rFont val="Tahoma"/>
            <family val="2"/>
          </rPr>
          <t xml:space="preserve">
including CAD127m for worforce reduction provision and CAD554m received from the Canadian Emergency Wage Subsidiary (CEWS)</t>
        </r>
      </text>
    </comment>
    <comment ref="C16" authorId="0" shapeId="0" xr:uid="{298B9117-F5C2-4476-B006-C6F7082C8734}">
      <text>
        <r>
          <rPr>
            <b/>
            <sz val="9"/>
            <color indexed="81"/>
            <rFont val="Tahoma"/>
            <family val="2"/>
          </rPr>
          <t>Nhan Duong:</t>
        </r>
        <r>
          <rPr>
            <sz val="9"/>
            <color indexed="81"/>
            <rFont val="Tahoma"/>
            <family val="2"/>
          </rPr>
          <t xml:space="preserve">
27% higher fuel expense due to higher average unit of fuel price</t>
        </r>
      </text>
    </comment>
    <comment ref="J22" authorId="1" shapeId="0" xr:uid="{C86006DF-07A0-49B3-AB97-45CD9DE83518}">
      <text>
        <r>
          <rPr>
            <b/>
            <sz val="9"/>
            <color indexed="81"/>
            <rFont val="Tahoma"/>
            <family val="2"/>
          </rPr>
          <t>regional airline cost</t>
        </r>
      </text>
    </comment>
    <comment ref="K22" authorId="1" shapeId="0" xr:uid="{42C73AC6-9BE9-4D52-B82F-0383781C4D93}">
      <text>
        <r>
          <rPr>
            <b/>
            <sz val="9"/>
            <color indexed="81"/>
            <rFont val="Tahoma"/>
            <family val="2"/>
          </rPr>
          <t>regional airline cost</t>
        </r>
      </text>
    </comment>
    <comment ref="J32" authorId="0" shapeId="0" xr:uid="{8192B4BF-F4E4-4BB1-A01B-4960B44D635F}">
      <text>
        <r>
          <rPr>
            <b/>
            <sz val="9"/>
            <color indexed="81"/>
            <rFont val="Tahoma"/>
            <family val="2"/>
          </rPr>
          <t>Nhan Duong:</t>
        </r>
        <r>
          <rPr>
            <sz val="9"/>
            <color indexed="81"/>
            <rFont val="Tahoma"/>
            <family val="2"/>
          </rPr>
          <t xml:space="preserve">
loss on disposal of the sale of 25 Embraer 190 aircraft
</t>
        </r>
      </text>
    </comment>
    <comment ref="D33" authorId="0" shapeId="0" xr:uid="{1689ACCA-3539-4279-A6F1-F3DF99E7D3E9}">
      <text>
        <r>
          <rPr>
            <b/>
            <sz val="9"/>
            <color indexed="81"/>
            <rFont val="Tahoma"/>
            <family val="2"/>
          </rPr>
          <t>Nhan Duong:</t>
        </r>
        <r>
          <rPr>
            <sz val="9"/>
            <color indexed="81"/>
            <rFont val="Tahoma"/>
            <family val="2"/>
          </rPr>
          <t xml:space="preserve">
loss from investment in Aevos</t>
        </r>
      </text>
    </comment>
    <comment ref="L34" authorId="0" shapeId="0" xr:uid="{7CB823FE-D55F-4A33-9C1C-C0F9D2AC912E}">
      <text>
        <r>
          <rPr>
            <b/>
            <sz val="9"/>
            <color indexed="81"/>
            <rFont val="Tahoma"/>
            <family val="2"/>
          </rPr>
          <t>Nhan Duong:</t>
        </r>
        <r>
          <rPr>
            <sz val="9"/>
            <color indexed="81"/>
            <rFont val="Tahoma"/>
            <family val="2"/>
          </rPr>
          <t xml:space="preserve">
related to accelerating of 767, E190, and A319 fleet
</t>
        </r>
      </text>
    </comment>
    <comment ref="E41" authorId="0" shapeId="0" xr:uid="{759F96BE-0FAE-43AB-A00A-04DB1BEEB11E}">
      <text>
        <r>
          <rPr>
            <b/>
            <sz val="9"/>
            <color indexed="81"/>
            <rFont val="Tahoma"/>
            <family val="2"/>
          </rPr>
          <t>Nhan Duong:</t>
        </r>
        <r>
          <rPr>
            <sz val="9"/>
            <color indexed="81"/>
            <rFont val="Tahoma"/>
            <family val="2"/>
          </rPr>
          <t xml:space="preserve">
weak Canadian dollar vs US dollar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Christine Davin</author>
    <author>Nhan Duong</author>
  </authors>
  <commentList>
    <comment ref="W15" authorId="0" shapeId="0" xr:uid="{4CEBC607-CF05-4558-8559-E5029184B7A6}">
      <text>
        <r>
          <rPr>
            <b/>
            <sz val="9"/>
            <color indexed="81"/>
            <rFont val="Tahoma"/>
            <family val="2"/>
          </rPr>
          <t>Christine Davin:</t>
        </r>
        <r>
          <rPr>
            <sz val="9"/>
            <color indexed="81"/>
            <rFont val="Tahoma"/>
            <family val="2"/>
          </rPr>
          <t xml:space="preserve">
this figure is netted off against Canadian govt wage subsidies and provisions, as detailed in accounts under special items</t>
        </r>
      </text>
    </comment>
    <comment ref="AB42" authorId="1" shapeId="0" xr:uid="{8743B85D-9095-4FD3-A3EB-1A395F1CFBF6}">
      <text>
        <r>
          <rPr>
            <sz val="9"/>
            <color indexed="81"/>
            <rFont val="Tahoma"/>
            <family val="2"/>
          </rPr>
          <t>loss on debt settlement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Hikaru Tsukagoshi</author>
  </authors>
  <commentList>
    <comment ref="J6" authorId="0" shapeId="0" xr:uid="{582DB997-0014-456B-83C8-A4779D85C565}">
      <text>
        <r>
          <rPr>
            <b/>
            <sz val="9"/>
            <color indexed="81"/>
            <rFont val="Tahoma"/>
            <family val="2"/>
          </rPr>
          <t>adjustment between GAAP and IFRS</t>
        </r>
      </text>
    </comment>
    <comment ref="K9" authorId="0" shapeId="0" xr:uid="{32E0D7D2-396B-4739-940B-1E55248AB61D}">
      <text>
        <r>
          <rPr>
            <b/>
            <sz val="9"/>
            <color indexed="81"/>
            <rFont val="Tahoma"/>
            <family val="2"/>
          </rPr>
          <t>ROU. Note 7</t>
        </r>
      </text>
    </comment>
    <comment ref="K46" authorId="0" shapeId="0" xr:uid="{80628DC3-F445-4694-B0AF-F4CE21D5C59C}">
      <text>
        <r>
          <rPr>
            <b/>
            <sz val="9"/>
            <color indexed="81"/>
            <rFont val="Tahoma"/>
            <family val="2"/>
          </rPr>
          <t>Lease liabilities. Includes land and buildings.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Ronan Murphy</author>
    <author>Nhan Duong</author>
  </authors>
  <commentList>
    <comment ref="I8" authorId="0" shapeId="0" xr:uid="{464D4E92-783D-4F36-AA14-98236E33DFCD}">
      <text>
        <r>
          <rPr>
            <b/>
            <sz val="9"/>
            <color indexed="81"/>
            <rFont val="Tahoma"/>
            <family val="2"/>
          </rPr>
          <t>Ronan Murphy:</t>
        </r>
        <r>
          <rPr>
            <sz val="9"/>
            <color indexed="81"/>
            <rFont val="Tahoma"/>
            <family val="2"/>
          </rPr>
          <t xml:space="preserve">
Be careful these cells are linked assuming 2010 annual start date and 2015 qtrly start date. If dates are different need to update links.</t>
        </r>
      </text>
    </comment>
    <comment ref="AB45" authorId="1" shapeId="0" xr:uid="{6A14B563-EDC6-4677-B49B-3430766EB891}">
      <text>
        <r>
          <rPr>
            <sz val="9"/>
            <color indexed="81"/>
            <rFont val="Tahoma"/>
            <family val="2"/>
          </rPr>
          <t>increase due to new private offering of Notes and Senior Secured Credit Facilities</t>
        </r>
      </text>
    </comment>
    <comment ref="B86" authorId="0" shapeId="0" xr:uid="{00000000-0006-0000-1700-000001000000}">
      <text>
        <r>
          <rPr>
            <b/>
            <sz val="9"/>
            <color indexed="81"/>
            <rFont val="Tahoma"/>
            <family val="2"/>
          </rPr>
          <t>Ronan Murphy:</t>
        </r>
        <r>
          <rPr>
            <sz val="9"/>
            <color indexed="81"/>
            <rFont val="Tahoma"/>
            <family val="2"/>
          </rPr>
          <t xml:space="preserve">
Be careful on any BS/ P&amp;L metric in in the interim section. Deprending on start dates of analysis the formula may be picking up the wrong average P&amp;L figures. </t>
        </r>
        <r>
          <rPr>
            <b/>
            <sz val="9"/>
            <color indexed="10"/>
            <rFont val="Tahoma"/>
            <family val="2"/>
          </rPr>
          <t>-  This is the case for all BS/P&amp;L metrics in the interim sections</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Ronan Murphy</author>
  </authors>
  <commentList>
    <comment ref="B86" authorId="0" shapeId="0" xr:uid="{00000000-0006-0000-1800-000001000000}">
      <text>
        <r>
          <rPr>
            <b/>
            <sz val="9"/>
            <color indexed="81"/>
            <rFont val="Tahoma"/>
            <family val="2"/>
          </rPr>
          <t>Ronan Murphy:</t>
        </r>
        <r>
          <rPr>
            <sz val="9"/>
            <color indexed="81"/>
            <rFont val="Tahoma"/>
            <family val="2"/>
          </rPr>
          <t xml:space="preserve">
Be careful on any BS/ P&amp;L metric in in the interim section. Deprending on start dates of analysis the formula may be picking up the wrong average P&amp;L figures. </t>
        </r>
        <r>
          <rPr>
            <b/>
            <sz val="9"/>
            <color indexed="10"/>
            <rFont val="Tahoma"/>
            <family val="2"/>
          </rPr>
          <t>-  This is the case for all BS/P&amp;L metrics in the interim sections</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Christine Davin</author>
  </authors>
  <commentList>
    <comment ref="W8" authorId="0" shapeId="0" xr:uid="{2282177A-31B8-4ED4-A690-66ECC1CFA3DC}">
      <text>
        <r>
          <rPr>
            <b/>
            <sz val="9"/>
            <color indexed="81"/>
            <rFont val="Tahoma"/>
            <family val="2"/>
          </rPr>
          <t>Christine Davin:</t>
        </r>
        <r>
          <rPr>
            <sz val="9"/>
            <color indexed="81"/>
            <rFont val="Tahoma"/>
            <family val="2"/>
          </rPr>
          <t xml:space="preserve">
The impairment losses are included in here- CAD 330m</t>
        </r>
      </text>
    </comment>
  </commentList>
</comments>
</file>

<file path=xl/sharedStrings.xml><?xml version="1.0" encoding="utf-8"?>
<sst xmlns="http://schemas.openxmlformats.org/spreadsheetml/2006/main" count="2620" uniqueCount="629">
  <si>
    <t>% inc / (dec) to previous period</t>
  </si>
  <si>
    <t>Consol.</t>
  </si>
  <si>
    <t>Operating Statistics</t>
  </si>
  <si>
    <t>Tax (expense) credit</t>
  </si>
  <si>
    <t>EBIT (Before Non-Op Items) Ratios</t>
  </si>
  <si>
    <t>Total Cargo &amp; Other Revenue</t>
  </si>
  <si>
    <t>Operating Costs &amp; B/E Load Factors</t>
  </si>
  <si>
    <t>Coverage Ratios</t>
  </si>
  <si>
    <t>Minority interest</t>
  </si>
  <si>
    <t>Fixed Charges</t>
  </si>
  <si>
    <t>Revenues and Yields</t>
  </si>
  <si>
    <t>Annual</t>
  </si>
  <si>
    <t>Cargo Revenue </t>
  </si>
  <si>
    <t>Other Revenue </t>
  </si>
  <si>
    <t>Total Revenue </t>
  </si>
  <si>
    <t>Employee Costs </t>
  </si>
  <si>
    <t>Fuel and oil </t>
  </si>
  <si>
    <t>Maintenance, materials &amp; engineering </t>
  </si>
  <si>
    <t>Landing fees, en route &amp; other variable charges </t>
  </si>
  <si>
    <t>Selling &amp; distribution charges </t>
  </si>
  <si>
    <t>Other EBITDAR expenses (sub-total) </t>
  </si>
  <si>
    <t>Non-aircraft rental (IS) </t>
  </si>
  <si>
    <t>Charter &amp; capacity hire </t>
  </si>
  <si>
    <t>Other operating expenses </t>
  </si>
  <si>
    <t>Total EBITDAR Expenses </t>
  </si>
  <si>
    <t>EBITDAR </t>
  </si>
  <si>
    <t>Aircraft rental expense (IS) </t>
  </si>
  <si>
    <t>EBITDA </t>
  </si>
  <si>
    <t>Depreciation &amp; amortisation </t>
  </si>
  <si>
    <t>EBIT before Non-Operating Items </t>
  </si>
  <si>
    <t>Dividends and share of profits (losses) of associates </t>
  </si>
  <si>
    <t>Profit (loss) from disposal of assets and investments </t>
  </si>
  <si>
    <t>Profit (loss) from discontinued operations </t>
  </si>
  <si>
    <t>Impairment losses </t>
  </si>
  <si>
    <t>Exceptional items </t>
  </si>
  <si>
    <t>Other non-operating items </t>
  </si>
  <si>
    <t>EBIT after Non-Operating Items </t>
  </si>
  <si>
    <t>Finance expense (IS) </t>
  </si>
  <si>
    <t>Finance income </t>
  </si>
  <si>
    <t>Gains/(losses) on other derivatives </t>
  </si>
  <si>
    <t>Foreign exchange gain/(loss) </t>
  </si>
  <si>
    <t>Other financial items </t>
  </si>
  <si>
    <t>Profit/(Loss) before tax </t>
  </si>
  <si>
    <t>Profit/(Loss) after tax </t>
  </si>
  <si>
    <t>Net Income/(Loss) </t>
  </si>
  <si>
    <t>Passenger Load Factor </t>
  </si>
  <si>
    <t>Number of passengers (000) </t>
  </si>
  <si>
    <t>Estimated Fuel Hedging Gains/(Losses) </t>
  </si>
  <si>
    <t>EBITDAR Margin (EBITDAR/Total Revenue) </t>
  </si>
  <si>
    <t>EBIT B/E Load Factor (CASK/Total Yield) </t>
  </si>
  <si>
    <t>Finance Expense </t>
  </si>
  <si>
    <t>Plus: Finance Income </t>
  </si>
  <si>
    <t>(Net) Finance Expense </t>
  </si>
  <si>
    <t>Aircraft Rental Expense </t>
  </si>
  <si>
    <t>Non-Aircraft Rental </t>
  </si>
  <si>
    <t>Total (Net) Fixed Charges </t>
  </si>
  <si>
    <t>EBITDAR/((Net) Fixed Charges + STD + CMLTD) (x) </t>
  </si>
  <si>
    <t>EBITDAR/(Net) Fixed Charges (x) </t>
  </si>
  <si>
    <t>EBITDA/(Net) Finance Expense (x) </t>
  </si>
  <si>
    <t>EBIT Margin (Before Non-Operating Items) </t>
  </si>
  <si>
    <t>EBIT/Finance Expense (x) </t>
  </si>
  <si>
    <t>EBIT/(Net) Finance Expense (x) </t>
  </si>
  <si>
    <t>Returns</t>
  </si>
  <si>
    <t>Return on Assets (EBIT/Ave Total Assets) </t>
  </si>
  <si>
    <t>Return on Total Capital (EBIT/(Ave Adj (Net) Debt+Equity) </t>
  </si>
  <si>
    <t>Return on Equity (Net Income/Ave Equity) </t>
  </si>
  <si>
    <t>Cash and cash equivalents </t>
  </si>
  <si>
    <t>Other cash deposits &amp; liquid investments </t>
  </si>
  <si>
    <t>Restricted cash </t>
  </si>
  <si>
    <t>Inventories </t>
  </si>
  <si>
    <t>Derivative financial instruments (CA) </t>
  </si>
  <si>
    <t>Trade and other receivables </t>
  </si>
  <si>
    <t>Deferred tax asset (CA) </t>
  </si>
  <si>
    <t>Other current assets </t>
  </si>
  <si>
    <t>Total Current Assets </t>
  </si>
  <si>
    <t>Owned Aircraft &amp; Flight Equipment </t>
  </si>
  <si>
    <t>Finance Leased &amp; H/P Aircraft &amp; Flight Equip't </t>
  </si>
  <si>
    <t>Aircraft Pre-Delivery Payments </t>
  </si>
  <si>
    <t>Land, Buildings &amp; Dev't </t>
  </si>
  <si>
    <t>Other Plant, Equipment &amp; Spares </t>
  </si>
  <si>
    <t>Total PP&amp;E </t>
  </si>
  <si>
    <t>Deposits, cash &amp; liquid investments </t>
  </si>
  <si>
    <t>Lease deposits &amp; restricted cash </t>
  </si>
  <si>
    <t>Intangible assets </t>
  </si>
  <si>
    <t>Route and airport rights </t>
  </si>
  <si>
    <t>Derivative financial instruments (non-CA) </t>
  </si>
  <si>
    <t>Deferred tax asset (non-CA) </t>
  </si>
  <si>
    <t>Investments </t>
  </si>
  <si>
    <t>Pension asset (non-CA) </t>
  </si>
  <si>
    <t>Other non-current assets </t>
  </si>
  <si>
    <t>Total Other Non-Current Assets </t>
  </si>
  <si>
    <t>Total Assets </t>
  </si>
  <si>
    <t>Overdrafts &amp; short-term debt </t>
  </si>
  <si>
    <t>Current portion of long term debt </t>
  </si>
  <si>
    <t>Derivative financial instruments (CL) </t>
  </si>
  <si>
    <t>Trade and other payables </t>
  </si>
  <si>
    <t>Deferred revenue </t>
  </si>
  <si>
    <t>Revenue received in advance (CL) </t>
  </si>
  <si>
    <t>Provisions (CL) </t>
  </si>
  <si>
    <t>Other current liabilities </t>
  </si>
  <si>
    <t>Total Current Liabilities </t>
  </si>
  <si>
    <t>Long-term loans </t>
  </si>
  <si>
    <t>Finance Leases </t>
  </si>
  <si>
    <t>Other long-term debt </t>
  </si>
  <si>
    <t>Subordinated debt </t>
  </si>
  <si>
    <t>Total Long Term Debt </t>
  </si>
  <si>
    <t>Deferred tax liabilities </t>
  </si>
  <si>
    <t>Revenue received in advance (non-CL) </t>
  </si>
  <si>
    <t>Deferred revenue (non-CL) </t>
  </si>
  <si>
    <t>Derivative financial instruments (non-CL) </t>
  </si>
  <si>
    <t>Pension liability (non-CL) </t>
  </si>
  <si>
    <t>Other provisions (non-CL) </t>
  </si>
  <si>
    <t>Other non-current liabilities </t>
  </si>
  <si>
    <t>Total Other Non-Current Liabilities </t>
  </si>
  <si>
    <t>Ordinary share capital </t>
  </si>
  <si>
    <t>Treasury shares </t>
  </si>
  <si>
    <t>Minority interest </t>
  </si>
  <si>
    <t>Share premium </t>
  </si>
  <si>
    <t>Retained earnings </t>
  </si>
  <si>
    <t>Other reserves </t>
  </si>
  <si>
    <t>Preferred shares </t>
  </si>
  <si>
    <t>Total Equity </t>
  </si>
  <si>
    <t>Debt Analysis</t>
  </si>
  <si>
    <t>Balance Sheet Debt (incl Fin Leases) </t>
  </si>
  <si>
    <t>Less Unrestricted Cash </t>
  </si>
  <si>
    <t>(Net) Balance Sheet Debt &amp; Fin Leases </t>
  </si>
  <si>
    <t>Aircraft Operating Leases (Capitalised at) </t>
  </si>
  <si>
    <t>Non-Aircraft Rental (Capitalised at) </t>
  </si>
  <si>
    <t>Adjusted (Net) Debt </t>
  </si>
  <si>
    <t>Secured Debt </t>
  </si>
  <si>
    <t>Secured Debt as % of Tangible Assets </t>
  </si>
  <si>
    <t>Secured Debt as % of Total Balance Sheet Debt [%] </t>
  </si>
  <si>
    <t>S/T Debt as % of Total Balance Sheet Debt [%] </t>
  </si>
  <si>
    <t>Liquidity</t>
  </si>
  <si>
    <t>Unrestricted Cash and Cash Equivalents </t>
  </si>
  <si>
    <t>Less Short Term Debt &amp; Current Maturity Long Term Debt </t>
  </si>
  <si>
    <t>Plus Current Portion Derivative Financial Instrument Assets </t>
  </si>
  <si>
    <t>Less Current Portion Derivative Financial Instrument Liabilities </t>
  </si>
  <si>
    <t>Net Liquidity (excluding Committed Loan Facilities) </t>
  </si>
  <si>
    <t>Unrestricted Cash/Total Revenues </t>
  </si>
  <si>
    <t>No of Months U/R Cash to Cover EBITDAR Costs + A/c Rental </t>
  </si>
  <si>
    <t>Unrestricted Cash/Balance Sheet Debt </t>
  </si>
  <si>
    <t>Gearing Ratios</t>
  </si>
  <si>
    <t>(Net) Balance Sheet Debt/EBITDA (x) </t>
  </si>
  <si>
    <t>(Net) Balance Sheet Debt/Book Equity (x) </t>
  </si>
  <si>
    <t>(Net) BS Debt/((Net) BS Debt + Book Equity) (x) </t>
  </si>
  <si>
    <t>Adjusted (Net) Debt/EBITDAR (x) </t>
  </si>
  <si>
    <t>Adjusted (Net) Debt/Book Equity (x) </t>
  </si>
  <si>
    <t>Adjusted (Net) Debt/Tangible Net Worth (x) </t>
  </si>
  <si>
    <t>Adjusted (Net) Debt/Adj (Net) Debt + BE (x) </t>
  </si>
  <si>
    <t>Adjusted (Net) Debt/Revenues (x) </t>
  </si>
  <si>
    <t>Lease Adjusted Enterprise Value/EBITDAR </t>
  </si>
  <si>
    <t>Book Equity/Total Assets </t>
  </si>
  <si>
    <t>Pension Analysis</t>
  </si>
  <si>
    <t>Pension Asset (PA) </t>
  </si>
  <si>
    <t>Pension Liability (PA) </t>
  </si>
  <si>
    <t>Net Pension Asset (Liability) </t>
  </si>
  <si>
    <t>(Net) BS Debt + NP Asset (Liab)/Book Equity </t>
  </si>
  <si>
    <t>Adj (Net) Debt + NP Asset (Liab)/Book Equity </t>
  </si>
  <si>
    <t>Derivatives Analysis</t>
  </si>
  <si>
    <t>Current Asset </t>
  </si>
  <si>
    <t>Current Liability </t>
  </si>
  <si>
    <t>Non-Current Asset </t>
  </si>
  <si>
    <t>Non-Current Liability </t>
  </si>
  <si>
    <t>Net Financial Instrument Asset (Liability) </t>
  </si>
  <si>
    <t>Working Capital Ratios</t>
  </si>
  <si>
    <t>Advance Revenue/Total Revenues </t>
  </si>
  <si>
    <t>Working Capital (CA-CL) </t>
  </si>
  <si>
    <t>Current Ratio (CA/CL) (x) </t>
  </si>
  <si>
    <t>Quick Ratio (Unrestricted Cash + Receivables/CL) (x) </t>
  </si>
  <si>
    <t>Trade Receivables/Trade Payables (x) </t>
  </si>
  <si>
    <t>Days' Trade &amp; other Receivables </t>
  </si>
  <si>
    <t>Days' Trade &amp; other Payables </t>
  </si>
  <si>
    <t>Days' Inventory (Assuming all related to Maintenance) </t>
  </si>
  <si>
    <t>Capitalisation</t>
  </si>
  <si>
    <t>Tangible Net Worth </t>
  </si>
  <si>
    <t>Equity Market Capitalisation </t>
  </si>
  <si>
    <t>Equity Market Cap/Book Equity </t>
  </si>
  <si>
    <t>Equity Market Cap/Tangible Net Worth </t>
  </si>
  <si>
    <t>Enterprise Value </t>
  </si>
  <si>
    <t>Lease Adjusted Enterprise Value </t>
  </si>
  <si>
    <t>Cost of Funds</t>
  </si>
  <si>
    <t>Average Interest Cost p.a.</t>
  </si>
  <si>
    <t>Weighted Average Cost of Capital p.a.</t>
  </si>
  <si>
    <t>Changes in current assets</t>
  </si>
  <si>
    <t>Changes in current liabilities</t>
  </si>
  <si>
    <t>Other change in working capital</t>
  </si>
  <si>
    <t>Total Net Working Capital Changes</t>
  </si>
  <si>
    <t>Net Cash Flow from Operating Activities ("CFO") </t>
  </si>
  <si>
    <t>Acquisition of PP&amp;E &amp; Intangibles </t>
  </si>
  <si>
    <t>Disposal of PP&amp;E &amp; Intangibles </t>
  </si>
  <si>
    <t>Reduction/(increase) in Loans Provided to Associates </t>
  </si>
  <si>
    <t>Investment in Subs &amp; Assocs </t>
  </si>
  <si>
    <t>Disposal of Subs &amp; Assocs </t>
  </si>
  <si>
    <t>Decrease/(increase) in other liquid investments </t>
  </si>
  <si>
    <t>Dividends received </t>
  </si>
  <si>
    <t>Other Investing Activities </t>
  </si>
  <si>
    <t>Net Cash Flow from Investing Activities </t>
  </si>
  <si>
    <t>Shares Issued </t>
  </si>
  <si>
    <t>Payments for Treasury shares </t>
  </si>
  <si>
    <t>Loan Drawdowns </t>
  </si>
  <si>
    <t>Proceeds of sale-leaseback </t>
  </si>
  <si>
    <t>Loan Repayments </t>
  </si>
  <si>
    <t>Decrease/(increase) in Restricted Cash </t>
  </si>
  <si>
    <t>Rollover of FX contracts </t>
  </si>
  <si>
    <t>Dividends Paid </t>
  </si>
  <si>
    <t>Special Distribution to Shareholders </t>
  </si>
  <si>
    <t>Other Financing Activities </t>
  </si>
  <si>
    <t>Net Cash Flow from Financing Activities </t>
  </si>
  <si>
    <t>Increase in Cash &amp; Equivalents </t>
  </si>
  <si>
    <t>Net FX Diffs</t>
  </si>
  <si>
    <t>Cash &amp; Cash Equivs at Beginning of Period</t>
  </si>
  <si>
    <t>Cash &amp; Cash Equivs at End of Period </t>
  </si>
  <si>
    <t>Supplemental Cash Flow Information:</t>
  </si>
  <si>
    <t>Discretionary Cash Flow (Free Cash Flow - Dividends) </t>
  </si>
  <si>
    <t>Cash Flow Ratios:</t>
  </si>
  <si>
    <t>FFO/Capex </t>
  </si>
  <si>
    <t>CFO/Capex </t>
  </si>
  <si>
    <t>(Net) Balance Sheet Debt/FFO (x) </t>
  </si>
  <si>
    <t>FFO Gross Finance Expense Coverage (x) </t>
  </si>
  <si>
    <t>FFO/Adjusted (Net) Debt </t>
  </si>
  <si>
    <t>(Net) Balance Sheet Debt/CFO (x) </t>
  </si>
  <si>
    <t>CFO Gross Finance Expense Coverage (x) </t>
  </si>
  <si>
    <t>CFO/Adjusted (Net) Debt </t>
  </si>
  <si>
    <t>Free Cash Flow/(Net) Balance Sheet Debt </t>
  </si>
  <si>
    <t>Free Cash Flow/Adjusted(Net) Debt </t>
  </si>
  <si>
    <t>Overall Operations</t>
  </si>
  <si>
    <t>Number of countries served</t>
  </si>
  <si>
    <t>Number of Employees/FTEs (y/e) </t>
  </si>
  <si>
    <t>Average Number of Employees/FTEs </t>
  </si>
  <si>
    <t>Number of aircraft </t>
  </si>
  <si>
    <t>Average age (yrs)</t>
  </si>
  <si>
    <t>Average Aircraft Utilisation (hrs/day)</t>
  </si>
  <si>
    <t>Block Hours</t>
  </si>
  <si>
    <t>Jet fuel consumption (US gallons (m))</t>
  </si>
  <si>
    <t>Jet fuel consumption (litres (m))</t>
  </si>
  <si>
    <t>Jet fuel consumption (Tonnes 000)</t>
  </si>
  <si>
    <t>Passenger Operations</t>
  </si>
  <si>
    <t>Cargo Operations</t>
  </si>
  <si>
    <t>Cargo Load Factor </t>
  </si>
  <si>
    <t>Overall Load Factor </t>
  </si>
  <si>
    <t>Cargo RFTKs as % of Total RTKs </t>
  </si>
  <si>
    <t>Efficiency Measures - Employees</t>
  </si>
  <si>
    <t>No of Pass per Ave No of Employees/FTEs </t>
  </si>
  <si>
    <t>No of Flights per Ave No of Employees/FTEs </t>
  </si>
  <si>
    <t>Block Hours per Ave No of Employees/FTEs </t>
  </si>
  <si>
    <t>ATKs per Ave No of Employees/FTEs (m) </t>
  </si>
  <si>
    <t>Employee Costs as % of Total Revenue </t>
  </si>
  <si>
    <t>Efficiency Measures - Fuel</t>
  </si>
  <si>
    <t>Litres per million ATK </t>
  </si>
  <si>
    <t>US gallons per block hour </t>
  </si>
  <si>
    <t>Effective Jet Fuel Cost per US Gallon </t>
  </si>
  <si>
    <t>Efficiency Measures - Selling &amp; Distribution</t>
  </si>
  <si>
    <t>Total Non Current Assets</t>
  </si>
  <si>
    <t>Net Current Liability Position</t>
  </si>
  <si>
    <t>NAV</t>
  </si>
  <si>
    <t>Book Equity/Adjusted Total Assets </t>
  </si>
  <si>
    <t>Total Revenue</t>
  </si>
  <si>
    <t>Domestic</t>
  </si>
  <si>
    <t xml:space="preserve">Percent of Total: </t>
  </si>
  <si>
    <t>Basis for breakdown:</t>
  </si>
  <si>
    <t>Revenue Breakdown:</t>
  </si>
  <si>
    <t>Total Revenue:</t>
  </si>
  <si>
    <t>Total Cargo &amp; Other Revenue:</t>
  </si>
  <si>
    <t>Other Revenue : </t>
  </si>
  <si>
    <t>Cargo Revenue: </t>
  </si>
  <si>
    <t>Passenger Revenue: </t>
  </si>
  <si>
    <t>Revenues</t>
  </si>
  <si>
    <t>LTM</t>
  </si>
  <si>
    <t>Total Operating Costs - %</t>
  </si>
  <si>
    <t>Depreciation &amp; amortisation - % </t>
  </si>
  <si>
    <t>Aircraft rental expense (IS) - % </t>
  </si>
  <si>
    <t>Other operating expenses - % </t>
  </si>
  <si>
    <t>Charter &amp; capacity hire - % </t>
  </si>
  <si>
    <t>Non-aircraft rental (IS) - % </t>
  </si>
  <si>
    <t>Other EBITDAR expenses (sub-total) - % </t>
  </si>
  <si>
    <t>Selling &amp; distribution charges - % </t>
  </si>
  <si>
    <t>Landing fees, en route &amp; other variable charges - % </t>
  </si>
  <si>
    <t>Maintenance, materials &amp; engineering - % </t>
  </si>
  <si>
    <t>Fuel and oil - % </t>
  </si>
  <si>
    <t>Employee Costs - % </t>
  </si>
  <si>
    <t>Percent of Total Operating Costs</t>
  </si>
  <si>
    <t>Total Op Costs excl Fuel </t>
  </si>
  <si>
    <t>Total Op Costs ('TOC') </t>
  </si>
  <si>
    <t>Total Operating Costs</t>
  </si>
  <si>
    <t>Average Salary Costs Per Employee</t>
  </si>
  <si>
    <t>Operational Analysis &gt;&gt;</t>
  </si>
  <si>
    <t>Financial Statements &gt;&gt;</t>
  </si>
  <si>
    <t>Income Statements &gt;</t>
  </si>
  <si>
    <t>Balance Sheet &gt;</t>
  </si>
  <si>
    <t>Cash Flow &gt;</t>
  </si>
  <si>
    <t>Free Cash Flow (CFO- Capex + Disposal of PPE) </t>
  </si>
  <si>
    <t>Fixed Charge Coverage Ratio</t>
  </si>
  <si>
    <t xml:space="preserve">Equity Capex </t>
  </si>
  <si>
    <t>Cash Flow to pay fixed charges</t>
  </si>
  <si>
    <t>Rental</t>
  </si>
  <si>
    <t>Debt repayment</t>
  </si>
  <si>
    <t>Total Fixed Charges</t>
  </si>
  <si>
    <t>Fixed charge coverage ratio</t>
  </si>
  <si>
    <t>Fixed Charges:</t>
  </si>
  <si>
    <t>Net Cash Flow from Operating Activities pre Rentals</t>
  </si>
  <si>
    <t>EBITDAR Coverage per P&amp;L</t>
  </si>
  <si>
    <t>Cash as % of sales</t>
  </si>
  <si>
    <t>Loyalty members</t>
  </si>
  <si>
    <t>Total</t>
  </si>
  <si>
    <t>MCAP Scoring</t>
  </si>
  <si>
    <t>FCF/Revenue</t>
  </si>
  <si>
    <t>Debt / Equity ratio (Inversed)</t>
  </si>
  <si>
    <t>Interest coverage ratio</t>
  </si>
  <si>
    <t>Long / short term debt ratio</t>
  </si>
  <si>
    <t>Quick ratio</t>
  </si>
  <si>
    <t>Cash ratio</t>
  </si>
  <si>
    <t>RASK-CASK</t>
    <phoneticPr fontId="0"/>
  </si>
  <si>
    <t>Total Asset (US$ 000s)</t>
  </si>
  <si>
    <t>Adjusted gross debt / EBITDAR</t>
  </si>
  <si>
    <t>Executive Summary Metrics</t>
  </si>
  <si>
    <t>Operational:</t>
  </si>
  <si>
    <t>y-o-y growth</t>
  </si>
  <si>
    <t>Passenger Yield</t>
  </si>
  <si>
    <t>Load Factor</t>
  </si>
  <si>
    <t>Break-even load factor</t>
  </si>
  <si>
    <t>Break-even load factor spread</t>
  </si>
  <si>
    <t>EBITDAR (ex-special items)</t>
  </si>
  <si>
    <t>EBITDAR Margin (ex-special)</t>
  </si>
  <si>
    <t>EBIT Margin</t>
  </si>
  <si>
    <t>Adjusted Net Debt</t>
  </si>
  <si>
    <t>Adjusted Net Debt / EBITDAR</t>
  </si>
  <si>
    <t>Source: Annual Reports / Accipiter Analysis</t>
  </si>
  <si>
    <t>ASK (mill)</t>
  </si>
  <si>
    <t>RPK (mill)</t>
  </si>
  <si>
    <t>RASK</t>
  </si>
  <si>
    <t>CASK (ex-special items)</t>
  </si>
  <si>
    <t>CASK-ex fuel &amp; special items</t>
  </si>
  <si>
    <t>US$m</t>
  </si>
  <si>
    <t>ttm Sept</t>
  </si>
  <si>
    <t>Passenger numbers</t>
  </si>
  <si>
    <t>year-over-year growth</t>
  </si>
  <si>
    <t>9m 2015</t>
  </si>
  <si>
    <t>9m 2016</t>
  </si>
  <si>
    <t>Passenger</t>
  </si>
  <si>
    <t xml:space="preserve">Cargo </t>
  </si>
  <si>
    <t>Other</t>
  </si>
  <si>
    <t>Operating Costs</t>
  </si>
  <si>
    <t>Operating Profit</t>
  </si>
  <si>
    <t>EBITDAR</t>
  </si>
  <si>
    <t>EBITDAR Margin</t>
  </si>
  <si>
    <t>Net Margin</t>
  </si>
  <si>
    <t>Net Profit</t>
  </si>
  <si>
    <t>Summary I/S</t>
  </si>
  <si>
    <t>USD'm</t>
  </si>
  <si>
    <t>Key Leverage Metrics</t>
  </si>
  <si>
    <t>Gross Reported Debt</t>
  </si>
  <si>
    <t>Lease Rental * 7</t>
  </si>
  <si>
    <t>Adjusted Gross Debt</t>
  </si>
  <si>
    <t>Cash (unrestricted)</t>
  </si>
  <si>
    <t>Adjusted net debt</t>
  </si>
  <si>
    <t>Adjusted net debt/EBITDAR</t>
  </si>
  <si>
    <t>Asia</t>
  </si>
  <si>
    <t>Europe</t>
  </si>
  <si>
    <t>Russia</t>
  </si>
  <si>
    <t>CIS</t>
  </si>
  <si>
    <t>Americas</t>
  </si>
  <si>
    <t>Middle East</t>
  </si>
  <si>
    <t>Revenue by Region</t>
  </si>
  <si>
    <t>Check</t>
  </si>
  <si>
    <t>CASK US$c</t>
  </si>
  <si>
    <t>CASK ex Fuel US$c</t>
  </si>
  <si>
    <t>Adjusted Balance Sheet</t>
  </si>
  <si>
    <t>PP&amp;E</t>
  </si>
  <si>
    <t>PDPs</t>
  </si>
  <si>
    <t>Other Non Current Assets</t>
  </si>
  <si>
    <t>Total NCA</t>
  </si>
  <si>
    <t>Cash &amp; Cash Equivalents</t>
  </si>
  <si>
    <t>Other Current Assets</t>
  </si>
  <si>
    <t>Total Current Assets</t>
  </si>
  <si>
    <t>Total Reported Assets</t>
  </si>
  <si>
    <t xml:space="preserve">Current debt </t>
  </si>
  <si>
    <t>Deferred revenue</t>
  </si>
  <si>
    <t>Other current liabilities</t>
  </si>
  <si>
    <t>Total current liabilities</t>
  </si>
  <si>
    <t>Net current asset/(liability)</t>
  </si>
  <si>
    <t>Long term debt</t>
  </si>
  <si>
    <t>Pension</t>
  </si>
  <si>
    <t>Other Non current liabilities</t>
  </si>
  <si>
    <t>Total NCL</t>
  </si>
  <si>
    <t>Net Asset Value</t>
  </si>
  <si>
    <t>Adjusted total assets</t>
  </si>
  <si>
    <t>Adjusted Cash Flow</t>
  </si>
  <si>
    <t>Operating Cost Breakdown</t>
  </si>
  <si>
    <t>Op Cash Flow pre lease rental</t>
  </si>
  <si>
    <t>EBITDAR :  Op Cash Conversion</t>
  </si>
  <si>
    <t>Equity portion of capex</t>
  </si>
  <si>
    <t>Free Cash Flow to the Firm</t>
  </si>
  <si>
    <t>Debt Service</t>
  </si>
  <si>
    <t>Lease expense</t>
  </si>
  <si>
    <t>Monthyl Average Rental Cost</t>
  </si>
  <si>
    <t>Total Aircraft</t>
  </si>
  <si>
    <t>On Op Lease</t>
  </si>
  <si>
    <t>Total aircraft rental cost</t>
  </si>
  <si>
    <t>Average annual cost per aircraft</t>
  </si>
  <si>
    <t>Average monthly rental cost</t>
  </si>
  <si>
    <t>Commitments</t>
  </si>
  <si>
    <t>Operating leases</t>
  </si>
  <si>
    <t>1yr</t>
  </si>
  <si>
    <t>1 - 5yrs</t>
  </si>
  <si>
    <t>5yrs+</t>
  </si>
  <si>
    <t>Q1</t>
  </si>
  <si>
    <t>Revenue per Ave No of Employees/FTEs [EUR'000] </t>
  </si>
  <si>
    <t>Gross Capex</t>
  </si>
  <si>
    <t>2017f</t>
  </si>
  <si>
    <t>2018f</t>
  </si>
  <si>
    <t>Net Interest received / (paid)</t>
  </si>
  <si>
    <t>Revenue</t>
  </si>
  <si>
    <t>Operating Margin</t>
  </si>
  <si>
    <t>Adjusted Total Assets</t>
  </si>
  <si>
    <t>Financial: US$m</t>
  </si>
  <si>
    <t>Balance Sheet:</t>
  </si>
  <si>
    <t>Cash</t>
  </si>
  <si>
    <t>Gross Debt</t>
  </si>
  <si>
    <t>ASMs per Ave No of Employees/FTEs (m) </t>
  </si>
  <si>
    <t>Litres per million ASM </t>
  </si>
  <si>
    <t>Average Trip Length (RPMs/Pass) (kms) </t>
  </si>
  <si>
    <t>US Transborder</t>
  </si>
  <si>
    <t>Atlantic</t>
  </si>
  <si>
    <t>Pacific</t>
  </si>
  <si>
    <t>Canadian Cities</t>
  </si>
  <si>
    <t xml:space="preserve">US Cities </t>
  </si>
  <si>
    <t>Other citites</t>
  </si>
  <si>
    <t>Average Daily flights</t>
  </si>
  <si>
    <t>Average Daily Flights (RHS)</t>
  </si>
  <si>
    <t>System growth</t>
  </si>
  <si>
    <t>Total ASK (RHS)</t>
  </si>
  <si>
    <t>ASM</t>
  </si>
  <si>
    <t>RPM</t>
  </si>
  <si>
    <t>RASM (CADc)</t>
  </si>
  <si>
    <t>Yield (CADc)</t>
  </si>
  <si>
    <t>Fare per Pax - CAD (RHS)</t>
  </si>
  <si>
    <t>Capacity Purchase Agreement</t>
  </si>
  <si>
    <t>Other operating expenses</t>
  </si>
  <si>
    <t>Fuel CASM</t>
  </si>
  <si>
    <t>CASM ex Fuel</t>
  </si>
  <si>
    <t>BELF</t>
  </si>
  <si>
    <t>Miles</t>
  </si>
  <si>
    <t>Kilometres</t>
  </si>
  <si>
    <t>Capacity Metrics</t>
  </si>
  <si>
    <t>Year end Month</t>
  </si>
  <si>
    <t>First Year for Annual Data</t>
  </si>
  <si>
    <t>First Year for Quarterly Data</t>
  </si>
  <si>
    <t>Days in month</t>
  </si>
  <si>
    <t>Selling &amp; Distribution Expenses per Pass</t>
  </si>
  <si>
    <t>Revenue per Ave No of Employees/FTEs</t>
  </si>
  <si>
    <t>Reporting Currency</t>
  </si>
  <si>
    <t>Alternative Currency</t>
  </si>
  <si>
    <t>US$</t>
  </si>
  <si>
    <t>FX Cross Rates</t>
  </si>
  <si>
    <t>Average Annual</t>
  </si>
  <si>
    <t>Year End</t>
  </si>
  <si>
    <t>Quaterly Average</t>
  </si>
  <si>
    <t>Quarter End</t>
  </si>
  <si>
    <t>Year</t>
  </si>
  <si>
    <t>Quarter</t>
  </si>
  <si>
    <t>Average Revenue per Passenger (Pass Rev/Pass)</t>
  </si>
  <si>
    <t>EBITDAR Cost/ASK [cents] </t>
  </si>
  <si>
    <t>Fuel Cost per ASK [cents] </t>
  </si>
  <si>
    <t>EBITDAR Cost Excl Fuel per ASK [cents] </t>
  </si>
  <si>
    <t>EBITDAR B/E Load Factor</t>
  </si>
  <si>
    <t>Total Operating Cost/ASK ('CASK') [cents] </t>
  </si>
  <si>
    <t>Total Operating Cost/ASK 'CASK' Excl Fuel [cents] </t>
  </si>
  <si>
    <t>RASK-CASK Margin [cents] </t>
  </si>
  <si>
    <t>Total Adjusted Asset Value</t>
  </si>
  <si>
    <t xml:space="preserve"> </t>
  </si>
  <si>
    <t>EV/EBITDA</t>
  </si>
  <si>
    <t>Adjusted EV / EBITDAR</t>
  </si>
  <si>
    <t>Airline Name</t>
  </si>
  <si>
    <t>Note: Adjustment to move related party and JV loans into investment to show correct substance of transaction</t>
  </si>
  <si>
    <t>Interim results</t>
  </si>
  <si>
    <t>First month for Quarterly/Half Year Data</t>
  </si>
  <si>
    <t>Days in Qtrly/Half Year Month Month</t>
  </si>
  <si>
    <t>Quarterly</t>
  </si>
  <si>
    <t>Semi-annual</t>
  </si>
  <si>
    <t>Operating Cash Flow after Rent, before W/C Changes ("FFO") </t>
  </si>
  <si>
    <t>Number of routes operated</t>
  </si>
  <si>
    <t>Number of airports served</t>
  </si>
  <si>
    <t>Try to start in 2010 as this is the period we are trying to populate in the airline data base. Also it impacts the formula in the interim balance sheet metrics</t>
  </si>
  <si>
    <t>For Qtryl try to start in 2015 and for half yearly try to start in 2014. Again the impact is based on the interim balance sheet metrics</t>
  </si>
  <si>
    <t>Financial Model Inputs</t>
  </si>
  <si>
    <t>Total Passenger Revenue</t>
  </si>
  <si>
    <t>Total Passengers</t>
  </si>
  <si>
    <t>Average Fare</t>
  </si>
  <si>
    <t>Total Cargo Revenue</t>
  </si>
  <si>
    <t>Tonne</t>
  </si>
  <si>
    <t>Cargo Revenue Per Tonne</t>
  </si>
  <si>
    <t>Other Revenue</t>
  </si>
  <si>
    <t>Total Fuel Cost</t>
  </si>
  <si>
    <t>Gallons (Millions)</t>
  </si>
  <si>
    <t>Litre Millions</t>
  </si>
  <si>
    <t>Tonne (000's)</t>
  </si>
  <si>
    <t>Convestion Factor to Gallon's</t>
  </si>
  <si>
    <t>Litre to Gallon (mil)</t>
  </si>
  <si>
    <t>Tonne to Gallon (mil)</t>
  </si>
  <si>
    <t>Unit Per ASK</t>
  </si>
  <si>
    <t>Tonne To Gallon Factor</t>
  </si>
  <si>
    <t>Litre to Gallon Factor</t>
  </si>
  <si>
    <t>Cost Per Gallon</t>
  </si>
  <si>
    <t>Average Number of Empolyees</t>
  </si>
  <si>
    <t>Total Salary Cost</t>
  </si>
  <si>
    <t>Average Salary</t>
  </si>
  <si>
    <t>Total Number OF Aircraft</t>
  </si>
  <si>
    <t>Boeing Narrow Body</t>
  </si>
  <si>
    <t>Airbus Narrow Body</t>
  </si>
  <si>
    <t>Boeing Wide Body</t>
  </si>
  <si>
    <t>Airbus Wide Body</t>
  </si>
  <si>
    <t>Average Number of Aircraft</t>
  </si>
  <si>
    <t>Total Maintenace Costs</t>
  </si>
  <si>
    <t>Maintenace Cost Per Aircraft</t>
  </si>
  <si>
    <t>Average Age</t>
  </si>
  <si>
    <t>Maintenace Cost Per Month Per Aircraft</t>
  </si>
  <si>
    <t>Selling as % of Passenger Revenue</t>
  </si>
  <si>
    <t>Total Lease Expense</t>
  </si>
  <si>
    <t>Lease Expense based on Average Aircraft</t>
  </si>
  <si>
    <t>Monthly Lease Expense per Aircraft</t>
  </si>
  <si>
    <t>Solve for</t>
  </si>
  <si>
    <t>Estimated Monthly Rental:</t>
  </si>
  <si>
    <t>Implied Annual Cost</t>
  </si>
  <si>
    <t>Actual Rental Cost</t>
  </si>
  <si>
    <t>Fuel Costs</t>
  </si>
  <si>
    <t>Salary Costs</t>
  </si>
  <si>
    <t>Landing &amp; Otyher Variable</t>
  </si>
  <si>
    <t>Lease Expenses</t>
  </si>
  <si>
    <t>Leased Aircraft At Period End</t>
  </si>
  <si>
    <t>Total Number of Leased</t>
  </si>
  <si>
    <t>Estimated Rental Costs</t>
  </si>
  <si>
    <t>Difference</t>
  </si>
  <si>
    <t>Maintenance</t>
  </si>
  <si>
    <t>Balance Sheet Workings</t>
  </si>
  <si>
    <t>Annual Depreciation Charge</t>
  </si>
  <si>
    <t>Useful Life</t>
  </si>
  <si>
    <t>Remaining Useful Life</t>
  </si>
  <si>
    <t>Owned Aircraft Assets</t>
  </si>
  <si>
    <t>Other Depreciating Assets</t>
  </si>
  <si>
    <t>Opening Gross Aircraft Balance Sheet Value (Reported Currency)</t>
  </si>
  <si>
    <t>NBV  (Reported Currency)</t>
  </si>
  <si>
    <t>Gross Book Value</t>
  </si>
  <si>
    <t>NBV</t>
  </si>
  <si>
    <t>Depreciation</t>
  </si>
  <si>
    <t>Intangible Assets</t>
  </si>
  <si>
    <t>Amortisation</t>
  </si>
  <si>
    <t>Annual Additions</t>
  </si>
  <si>
    <t>Income Statement</t>
  </si>
  <si>
    <t>Subsidiary &amp; Accociates</t>
  </si>
  <si>
    <t>Carrying Value</t>
  </si>
  <si>
    <t>Recognised Profit</t>
  </si>
  <si>
    <t>Dividends Received</t>
  </si>
  <si>
    <t>Inventories</t>
  </si>
  <si>
    <t>Closing Inventory (US$)</t>
  </si>
  <si>
    <t>Maintenace Costs</t>
  </si>
  <si>
    <t>Closing Inventory as % of Maintenace Costs</t>
  </si>
  <si>
    <t>Opening Balance Sheet For Financial Model</t>
  </si>
  <si>
    <t>Owned Aircraft</t>
  </si>
  <si>
    <t>PDP</t>
  </si>
  <si>
    <t>Total Aircraft Related Assets</t>
  </si>
  <si>
    <t>Security Deposits &amp; MR</t>
  </si>
  <si>
    <t>Other Tangible Assets</t>
  </si>
  <si>
    <t>Investement in Sub &amp; Associates</t>
  </si>
  <si>
    <t>Other NCA (Not being Modelled)</t>
  </si>
  <si>
    <t>Goodwill &amp; Intangibles</t>
  </si>
  <si>
    <t>Trade Debtors</t>
  </si>
  <si>
    <t>Inventory</t>
  </si>
  <si>
    <t>Trade Payables</t>
  </si>
  <si>
    <t>Deferred Revenue</t>
  </si>
  <si>
    <t>Other CL (Not Modelled)</t>
  </si>
  <si>
    <t>Current Portion of Debt</t>
  </si>
  <si>
    <t>Total CL</t>
  </si>
  <si>
    <t>Total Non current debt</t>
  </si>
  <si>
    <t>Other NCL (Not Modelled)</t>
  </si>
  <si>
    <t xml:space="preserve">Share Capital &amp; Premium </t>
  </si>
  <si>
    <t xml:space="preserve">Retained Earnings </t>
  </si>
  <si>
    <t>Other Reserves (Not Modelled)</t>
  </si>
  <si>
    <t>Equity Value</t>
  </si>
  <si>
    <t>Other CA Not (Modelled)</t>
  </si>
  <si>
    <t>Pax Growth</t>
  </si>
  <si>
    <t>Average Fare Growth</t>
  </si>
  <si>
    <t>Passenger Seasonality</t>
  </si>
  <si>
    <t>ASK Seasonality</t>
  </si>
  <si>
    <t>Salary Seasonality</t>
  </si>
  <si>
    <t>Maintenance Seasonality</t>
  </si>
  <si>
    <t>Average # of Aircraft</t>
  </si>
  <si>
    <t>Average Number of Employees per Aircraft</t>
  </si>
  <si>
    <t>Passenger Revenue Seasonality</t>
  </si>
  <si>
    <t>Debt workings</t>
  </si>
  <si>
    <t>Finance Lease - Current</t>
  </si>
  <si>
    <t>Finance Lease - Non Current</t>
  </si>
  <si>
    <t>Total Finance Lease</t>
  </si>
  <si>
    <t>PDP Facility - Current</t>
  </si>
  <si>
    <t>PDP Facility - Non Current</t>
  </si>
  <si>
    <t>Total PDP Facility</t>
  </si>
  <si>
    <t>Other Bank Debt - Current</t>
  </si>
  <si>
    <t>Other Bank Debt - Non Current</t>
  </si>
  <si>
    <t>Total Other Bank - Debt</t>
  </si>
  <si>
    <t>Unsecured Debt - Current</t>
  </si>
  <si>
    <t>Unsecured Debt - Non Current</t>
  </si>
  <si>
    <t>Total Unsecured</t>
  </si>
  <si>
    <t>Total Debt</t>
  </si>
  <si>
    <t>Total Interest Cost</t>
  </si>
  <si>
    <t>Average interest rate</t>
  </si>
  <si>
    <t>Some interest might be getting capitalised, if possible use cash interest paid or rates in accounts</t>
  </si>
  <si>
    <t>Accipiter Scoring</t>
  </si>
  <si>
    <t>Adjusted Debt to Equity</t>
  </si>
  <si>
    <t>Adjusted long term / short term debt</t>
  </si>
  <si>
    <t>Cash Ratio</t>
  </si>
  <si>
    <t>Adjusted Total Assets (US$m)</t>
  </si>
  <si>
    <t>Adjusted Net debt / EBITDAR</t>
  </si>
  <si>
    <t xml:space="preserve">US$ </t>
  </si>
  <si>
    <t xml:space="preserve">Financial: </t>
  </si>
  <si>
    <t>Ancillary Revenue (optional)</t>
  </si>
  <si>
    <t>Passenger Revenue  (inc Ancillary optional)</t>
  </si>
  <si>
    <t>Average Ancillary Revenue per Passenger (Ancillary Pass Rev/Pass)</t>
  </si>
  <si>
    <t>Total Revenue Per Passenger</t>
  </si>
  <si>
    <t>[Insert Breakdown As Applicable]</t>
  </si>
  <si>
    <t>Total Number of flights</t>
  </si>
  <si>
    <t>y-o-y gorwth %</t>
  </si>
  <si>
    <t>Average number of Leased Aircraft</t>
  </si>
  <si>
    <t>Quick Ratio</t>
  </si>
  <si>
    <t>Operating Cash Flow Margin</t>
  </si>
  <si>
    <t>Air Canada</t>
  </si>
  <si>
    <t>CAD</t>
  </si>
  <si>
    <t>restated</t>
  </si>
  <si>
    <t>Operating profit less interest margin</t>
  </si>
  <si>
    <t>Cash/Revenue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</si>
</sst>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3" formatCode="_-* #,##0.00_-;\-* #,##0.00_-;_-* &quot;-&quot;??_-;_-@_-"/>
    <numFmt numFmtId="164" formatCode="_(* #,##0.00_);_(* \(#,##0.00\);_(* &quot;-&quot;??_);_(@_)"/>
    <numFmt numFmtId="165" formatCode="#,##0.0"/>
    <numFmt numFmtId="166" formatCode="0.0%"/>
    <numFmt numFmtId="167" formatCode="0.0"/>
    <numFmt numFmtId="168" formatCode="0.00000000"/>
    <numFmt numFmtId="169" formatCode="_(* #,##0.000_);_(* \(#,##0.000\);_(* &quot;-&quot;??_);_(@_)"/>
    <numFmt numFmtId="170" formatCode="#,##0;[Red]\(#,##0\)"/>
    <numFmt numFmtId="171" formatCode="#,##0.00\x"/>
    <numFmt numFmtId="172" formatCode="#,##0.0\x"/>
    <numFmt numFmtId="173" formatCode="_(* #,##0_);_(* \(#,##0\);_(* &quot;-&quot;??_);_(@_)"/>
    <numFmt numFmtId="174" formatCode="#,##0.00;[Red]\(#,##0.00\)"/>
    <numFmt numFmtId="175" formatCode="#,##0.0\ &quot;days&quot;"/>
    <numFmt numFmtId="176" formatCode="0.0000"/>
    <numFmt numFmtId="177" formatCode="_(* #,##0.0000000_);_(* \(#,##0.0000000\);_(* &quot;-&quot;??_);_(@_)"/>
    <numFmt numFmtId="178" formatCode="#,##0.000"/>
    <numFmt numFmtId="179" formatCode="#,##0_);\(#,##0\);&quot;-  &quot;;&quot; &quot;@&quot; &quot;"/>
    <numFmt numFmtId="180" formatCode="0.00%_);\-0.00%_);&quot;-  &quot;;&quot; &quot;@&quot; &quot;"/>
    <numFmt numFmtId="181" formatCode="#,##0.0000_);\(#,##0.0000\);&quot;-  &quot;;&quot; &quot;@&quot; &quot;"/>
    <numFmt numFmtId="182" formatCode="dd\ mmm\ yyyy_);\(###0\);&quot;-  &quot;;&quot; &quot;@&quot; &quot;"/>
    <numFmt numFmtId="183" formatCode="dd\ mmm\ yy_);\(###0\);&quot;-  &quot;;&quot; &quot;@&quot; &quot;"/>
    <numFmt numFmtId="184" formatCode="###0_);\(###0\);&quot;-  &quot;;&quot; &quot;@&quot; &quot;"/>
    <numFmt numFmtId="185" formatCode="#,##0.000_);\(#,##0.000\);&quot;-  &quot;;&quot; &quot;@&quot; &quot;"/>
    <numFmt numFmtId="186" formatCode="#,##0.00_);\(#,##0.00\);&quot;-  &quot;;&quot; &quot;@&quot; &quot;"/>
    <numFmt numFmtId="187" formatCode="#,##0.0_);\(#,##0.0\);&quot;-  &quot;;&quot; &quot;@&quot; &quot;"/>
  </numFmts>
  <fonts count="43"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rgb="FFFFFFFF"/>
      <name val="Calibri"/>
      <family val="2"/>
      <scheme val="minor"/>
    </font>
    <font>
      <sz val="22"/>
      <color rgb="FFFFFFFF"/>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28"/>
      <color theme="1"/>
      <name val="Calibri"/>
      <family val="2"/>
      <scheme val="minor"/>
    </font>
    <font>
      <sz val="11"/>
      <color rgb="FFFFFFFF"/>
      <name val="Calibri"/>
      <family val="2"/>
      <scheme val="minor"/>
    </font>
    <font>
      <b/>
      <sz val="36"/>
      <color theme="5"/>
      <name val="Calibri"/>
      <family val="2"/>
      <scheme val="minor"/>
    </font>
    <font>
      <b/>
      <sz val="36"/>
      <color theme="4"/>
      <name val="Calibri"/>
      <family val="2"/>
      <scheme val="minor"/>
    </font>
    <font>
      <b/>
      <sz val="36"/>
      <color theme="4" tint="0.39997558519241921"/>
      <name val="Calibri"/>
      <family val="2"/>
      <scheme val="minor"/>
    </font>
    <font>
      <b/>
      <sz val="11"/>
      <color theme="0"/>
      <name val="Calibri"/>
      <family val="2"/>
      <scheme val="minor"/>
    </font>
    <font>
      <sz val="10"/>
      <name val="Calibri"/>
      <family val="2"/>
      <scheme val="minor"/>
    </font>
    <font>
      <b/>
      <sz val="10"/>
      <name val="Calibri"/>
      <family val="2"/>
      <scheme val="minor"/>
    </font>
    <font>
      <b/>
      <sz val="10"/>
      <color theme="0"/>
      <name val="Calibri"/>
      <family val="2"/>
      <scheme val="minor"/>
    </font>
    <font>
      <b/>
      <u/>
      <sz val="10"/>
      <color theme="1"/>
      <name val="Calibri"/>
      <family val="2"/>
      <scheme val="minor"/>
    </font>
    <font>
      <sz val="10"/>
      <color theme="1"/>
      <name val="Calibri"/>
      <family val="2"/>
      <scheme val="minor"/>
    </font>
    <font>
      <i/>
      <sz val="10"/>
      <color theme="1"/>
      <name val="Calibri"/>
      <family val="2"/>
      <scheme val="minor"/>
    </font>
    <font>
      <b/>
      <i/>
      <sz val="8"/>
      <color theme="1"/>
      <name val="Calibri"/>
      <family val="2"/>
      <scheme val="minor"/>
    </font>
    <font>
      <b/>
      <sz val="10"/>
      <color theme="1"/>
      <name val="Calibri"/>
      <family val="2"/>
      <scheme val="minor"/>
    </font>
    <font>
      <b/>
      <i/>
      <sz val="11"/>
      <color theme="1"/>
      <name val="Calibri"/>
      <family val="2"/>
      <scheme val="minor"/>
    </font>
    <font>
      <sz val="9"/>
      <color indexed="81"/>
      <name val="Tahoma"/>
      <family val="2"/>
    </font>
    <font>
      <b/>
      <sz val="9"/>
      <color indexed="81"/>
      <name val="Tahoma"/>
      <family val="2"/>
    </font>
    <font>
      <sz val="11"/>
      <color theme="0"/>
      <name val="Calibri"/>
      <family val="2"/>
      <scheme val="minor"/>
    </font>
    <font>
      <b/>
      <i/>
      <sz val="10"/>
      <color theme="1"/>
      <name val="Calibri"/>
      <family val="2"/>
      <scheme val="minor"/>
    </font>
    <font>
      <sz val="11"/>
      <color rgb="FFFF0000"/>
      <name val="Calibri"/>
      <family val="2"/>
      <scheme val="minor"/>
    </font>
    <font>
      <sz val="11"/>
      <name val="Calibri"/>
      <family val="2"/>
      <scheme val="minor"/>
    </font>
    <font>
      <sz val="10"/>
      <color indexed="8"/>
      <name val="Arial"/>
      <family val="2"/>
    </font>
    <font>
      <b/>
      <sz val="11"/>
      <color rgb="FFFF0000"/>
      <name val="Calibri"/>
      <family val="2"/>
      <scheme val="minor"/>
    </font>
    <font>
      <b/>
      <sz val="9"/>
      <color indexed="10"/>
      <name val="Tahoma"/>
      <family val="2"/>
    </font>
    <font>
      <sz val="11"/>
      <color theme="1"/>
      <name val="Calibri"/>
      <family val="2"/>
      <scheme val="minor"/>
    </font>
    <font>
      <b/>
      <sz val="11"/>
      <name val="Calibri"/>
      <family val="2"/>
      <scheme val="minor"/>
    </font>
    <font>
      <sz val="11"/>
      <color rgb="FF44588C"/>
      <name val="Calibri"/>
      <family val="2"/>
      <scheme val="minor"/>
    </font>
    <font>
      <sz val="22"/>
      <color theme="0"/>
      <name val="Calibri"/>
      <family val="2"/>
      <scheme val="minor"/>
    </font>
    <font>
      <sz val="11"/>
      <color theme="1"/>
      <name val="Calibri"/>
      <family val="2"/>
      <scheme val="minor"/>
    </font>
    <font>
      <sz val="10"/>
      <name val="Arial"/>
      <family val="2"/>
    </font>
  </fonts>
  <fills count="14">
    <fill>
      <patternFill patternType="none"/>
    </fill>
    <fill>
      <patternFill patternType="gray125"/>
    </fill>
    <fill>
      <patternFill patternType="solid">
        <fgColor rgb="FFFFFFFF"/>
        <bgColor indexed="64"/>
      </patternFill>
    </fill>
    <fill>
      <patternFill patternType="solid">
        <fgColor rgb="FF44588C"/>
        <bgColor indexed="64"/>
      </patternFill>
    </fill>
    <fill>
      <patternFill patternType="solid">
        <fgColor rgb="FF808080"/>
        <bgColor indexed="64"/>
      </patternFill>
    </fill>
    <fill>
      <patternFill patternType="solid">
        <fgColor rgb="FFFFFF00"/>
        <bgColor indexed="64"/>
      </patternFill>
    </fill>
    <fill>
      <patternFill patternType="solid">
        <fgColor rgb="FF99CC00"/>
        <bgColor indexed="64"/>
      </patternFill>
    </fill>
    <fill>
      <patternFill patternType="solid">
        <fgColor rgb="FFFFFF99"/>
        <bgColor indexed="64"/>
      </patternFill>
    </fill>
    <fill>
      <patternFill patternType="solid">
        <fgColor theme="0"/>
        <bgColor indexed="64"/>
      </patternFill>
    </fill>
    <fill>
      <patternFill patternType="solid">
        <fgColor rgb="FFC0000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3"/>
        <bgColor indexed="64"/>
      </patternFill>
    </fill>
    <fill>
      <patternFill patternType="solid">
        <fgColor theme="3" tint="0.79998168889431442"/>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auto="1"/>
      </right>
      <top/>
      <bottom/>
      <diagonal/>
    </border>
    <border>
      <left style="thin">
        <color indexed="0"/>
      </left>
      <right style="thin">
        <color indexed="0"/>
      </right>
      <top/>
      <bottom/>
      <diagonal/>
    </border>
    <border>
      <left/>
      <right/>
      <top style="thin">
        <color rgb="FF808080"/>
      </top>
      <bottom style="thin">
        <color rgb="FF808080"/>
      </bottom>
      <diagonal/>
    </border>
    <border>
      <left style="dotted">
        <color auto="1"/>
      </left>
      <right style="dotted">
        <color auto="1"/>
      </right>
      <top style="dotted">
        <color auto="1"/>
      </top>
      <bottom style="dotted">
        <color auto="1"/>
      </bottom>
      <diagonal/>
    </border>
    <border>
      <left style="thin">
        <color indexed="64"/>
      </left>
      <right/>
      <top/>
      <bottom/>
      <diagonal/>
    </border>
  </borders>
  <cellStyleXfs count="26">
    <xf numFmtId="179" fontId="0" fillId="0" borderId="0" applyFont="0" applyFill="0" applyBorder="0" applyProtection="0">
      <alignment vertical="top"/>
    </xf>
    <xf numFmtId="164" fontId="6" fillId="0" borderId="0" applyFont="0" applyFill="0" applyBorder="0" applyAlignment="0" applyProtection="0"/>
    <xf numFmtId="0" fontId="10" fillId="0" borderId="0"/>
    <xf numFmtId="180" fontId="6" fillId="0" borderId="0" applyFont="0" applyFill="0" applyBorder="0" applyProtection="0">
      <alignment vertical="top"/>
    </xf>
    <xf numFmtId="0" fontId="3" fillId="0" borderId="0"/>
    <xf numFmtId="43" fontId="3" fillId="0" borderId="0" applyFont="0" applyFill="0" applyBorder="0" applyAlignment="0" applyProtection="0"/>
    <xf numFmtId="9" fontId="3" fillId="0" borderId="0" applyFont="0" applyFill="0" applyBorder="0" applyAlignment="0" applyProtection="0"/>
    <xf numFmtId="3" fontId="34" fillId="2" borderId="21">
      <alignment horizontal="right"/>
    </xf>
    <xf numFmtId="181" fontId="37" fillId="0" borderId="0" applyFont="0" applyFill="0" applyBorder="0" applyProtection="0">
      <alignment vertical="top"/>
    </xf>
    <xf numFmtId="182" fontId="37" fillId="0" borderId="0" applyFont="0" applyFill="0" applyBorder="0" applyProtection="0">
      <alignment vertical="top"/>
    </xf>
    <xf numFmtId="183" fontId="37" fillId="0" borderId="0" applyFont="0" applyFill="0" applyBorder="0" applyProtection="0">
      <alignment vertical="top"/>
    </xf>
    <xf numFmtId="184" fontId="37" fillId="0" borderId="0" applyFont="0" applyFill="0" applyBorder="0" applyProtection="0">
      <alignment vertical="top"/>
    </xf>
    <xf numFmtId="0" fontId="2" fillId="0" borderId="0"/>
    <xf numFmtId="43" fontId="2" fillId="0" borderId="0" applyFont="0" applyFill="0" applyBorder="0" applyAlignment="0" applyProtection="0"/>
    <xf numFmtId="22" fontId="42" fillId="0" borderId="0"/>
    <xf numFmtId="9" fontId="2" fillId="0" borderId="0" applyFont="0" applyFill="0" applyBorder="0" applyAlignment="0" applyProtection="0"/>
    <xf numFmtId="179" fontId="41" fillId="0" borderId="0" applyFont="0" applyFill="0" applyBorder="0" applyProtection="0">
      <alignment vertical="top"/>
    </xf>
    <xf numFmtId="0" fontId="2" fillId="0" borderId="0"/>
    <xf numFmtId="180" fontId="2" fillId="0" borderId="0" applyFont="0" applyFill="0" applyBorder="0" applyProtection="0">
      <alignment vertical="top"/>
    </xf>
    <xf numFmtId="0" fontId="2" fillId="0" borderId="0"/>
    <xf numFmtId="43" fontId="2" fillId="0" borderId="0" applyFont="0" applyFill="0" applyBorder="0" applyAlignment="0" applyProtection="0"/>
    <xf numFmtId="9" fontId="2" fillId="0" borderId="0" applyFont="0" applyFill="0" applyBorder="0" applyAlignment="0" applyProtection="0"/>
    <xf numFmtId="181" fontId="2" fillId="0" borderId="0" applyFont="0" applyFill="0" applyBorder="0" applyProtection="0">
      <alignment vertical="top"/>
    </xf>
    <xf numFmtId="182" fontId="2" fillId="0" borderId="0" applyFont="0" applyFill="0" applyBorder="0" applyProtection="0">
      <alignment vertical="top"/>
    </xf>
    <xf numFmtId="183" fontId="2" fillId="0" borderId="0" applyFont="0" applyFill="0" applyBorder="0" applyProtection="0">
      <alignment vertical="top"/>
    </xf>
    <xf numFmtId="184" fontId="2" fillId="0" borderId="0" applyFont="0" applyFill="0" applyBorder="0" applyProtection="0">
      <alignment vertical="top"/>
    </xf>
  </cellStyleXfs>
  <cellXfs count="353">
    <xf numFmtId="179" fontId="0" fillId="0" borderId="0" xfId="0">
      <alignment vertical="top"/>
    </xf>
    <xf numFmtId="179" fontId="0" fillId="2" borderId="0" xfId="0" applyFill="1" applyAlignment="1">
      <alignment horizontal="right"/>
    </xf>
    <xf numFmtId="166" fontId="0" fillId="2" borderId="0" xfId="0" applyNumberFormat="1" applyFill="1" applyAlignment="1">
      <alignment horizontal="right"/>
    </xf>
    <xf numFmtId="179" fontId="8" fillId="3" borderId="0" xfId="0" applyFont="1" applyFill="1" applyAlignment="1">
      <alignment horizontal="center"/>
    </xf>
    <xf numFmtId="4" fontId="0" fillId="2" borderId="0" xfId="0" applyNumberFormat="1" applyFill="1" applyAlignment="1">
      <alignment horizontal="right"/>
    </xf>
    <xf numFmtId="165" fontId="0" fillId="2" borderId="0" xfId="0" applyNumberFormat="1" applyFill="1" applyAlignment="1">
      <alignment horizontal="right"/>
    </xf>
    <xf numFmtId="165" fontId="7" fillId="2" borderId="0" xfId="0" applyNumberFormat="1" applyFont="1" applyFill="1" applyAlignment="1">
      <alignment horizontal="right"/>
    </xf>
    <xf numFmtId="15" fontId="8" fillId="3" borderId="0" xfId="0" applyNumberFormat="1" applyFont="1" applyFill="1" applyAlignment="1">
      <alignment horizontal="center"/>
    </xf>
    <xf numFmtId="179" fontId="7" fillId="4" borderId="0" xfId="0" applyFont="1" applyFill="1" applyAlignment="1">
      <alignment horizontal="left"/>
    </xf>
    <xf numFmtId="167" fontId="0" fillId="2" borderId="0" xfId="0" applyNumberFormat="1" applyFill="1" applyAlignment="1">
      <alignment horizontal="right"/>
    </xf>
    <xf numFmtId="179" fontId="0" fillId="4" borderId="0" xfId="0" applyFill="1" applyAlignment="1">
      <alignment horizontal="right"/>
    </xf>
    <xf numFmtId="179" fontId="7" fillId="2" borderId="0" xfId="0" applyFont="1" applyFill="1">
      <alignment vertical="top"/>
    </xf>
    <xf numFmtId="3" fontId="0" fillId="2" borderId="0" xfId="0" applyNumberFormat="1" applyFill="1" applyAlignment="1">
      <alignment horizontal="right"/>
    </xf>
    <xf numFmtId="179" fontId="0" fillId="2" borderId="0" xfId="0" applyFill="1">
      <alignment vertical="top"/>
    </xf>
    <xf numFmtId="179" fontId="7" fillId="2" borderId="0" xfId="0" applyFont="1" applyFill="1" applyAlignment="1">
      <alignment horizontal="left"/>
    </xf>
    <xf numFmtId="168" fontId="8" fillId="3" borderId="0" xfId="0" applyNumberFormat="1" applyFont="1" applyFill="1" applyAlignment="1">
      <alignment horizontal="center"/>
    </xf>
    <xf numFmtId="179" fontId="8" fillId="2" borderId="0" xfId="0" applyFont="1" applyFill="1" applyAlignment="1">
      <alignment horizontal="center"/>
    </xf>
    <xf numFmtId="179" fontId="0" fillId="2" borderId="0" xfId="0" applyFill="1" applyAlignment="1">
      <alignment horizontal="left"/>
    </xf>
    <xf numFmtId="179" fontId="0" fillId="4" borderId="0" xfId="0" applyFill="1">
      <alignment vertical="top"/>
    </xf>
    <xf numFmtId="179" fontId="0" fillId="2" borderId="0" xfId="0" applyFill="1" applyAlignment="1">
      <alignment horizontal="right"/>
    </xf>
    <xf numFmtId="169" fontId="8" fillId="3" borderId="0" xfId="1" applyNumberFormat="1" applyFont="1" applyFill="1" applyAlignment="1">
      <alignment horizontal="center"/>
    </xf>
    <xf numFmtId="170" fontId="0" fillId="2" borderId="0" xfId="0" applyNumberFormat="1" applyFill="1" applyAlignment="1">
      <alignment horizontal="right"/>
    </xf>
    <xf numFmtId="170" fontId="7" fillId="2" borderId="0" xfId="0" applyNumberFormat="1" applyFont="1" applyFill="1" applyAlignment="1">
      <alignment horizontal="right"/>
    </xf>
    <xf numFmtId="170" fontId="7" fillId="2" borderId="2" xfId="0" applyNumberFormat="1" applyFont="1" applyFill="1" applyBorder="1" applyAlignment="1">
      <alignment horizontal="right"/>
    </xf>
    <xf numFmtId="170" fontId="7" fillId="2" borderId="3" xfId="0" applyNumberFormat="1" applyFont="1" applyFill="1" applyBorder="1" applyAlignment="1">
      <alignment horizontal="right"/>
    </xf>
    <xf numFmtId="171" fontId="0" fillId="2" borderId="0" xfId="0" applyNumberFormat="1" applyFill="1" applyAlignment="1">
      <alignment horizontal="right"/>
    </xf>
    <xf numFmtId="179" fontId="0" fillId="5" borderId="0" xfId="0" applyFill="1" applyAlignment="1">
      <alignment horizontal="left"/>
    </xf>
    <xf numFmtId="179" fontId="0" fillId="5" borderId="0" xfId="0" applyFill="1">
      <alignment vertical="top"/>
    </xf>
    <xf numFmtId="179" fontId="0" fillId="6" borderId="0" xfId="0" applyFill="1" applyAlignment="1">
      <alignment horizontal="left"/>
    </xf>
    <xf numFmtId="179" fontId="0" fillId="6" borderId="0" xfId="0" applyFill="1">
      <alignment vertical="top"/>
    </xf>
    <xf numFmtId="179" fontId="0" fillId="2" borderId="0" xfId="0" applyFill="1" applyAlignment="1">
      <alignment horizontal="right"/>
    </xf>
    <xf numFmtId="179" fontId="0" fillId="2" borderId="0" xfId="0" applyFill="1" applyAlignment="1">
      <alignment horizontal="left"/>
    </xf>
    <xf numFmtId="170" fontId="0" fillId="7" borderId="0" xfId="0" applyNumberFormat="1" applyFill="1" applyAlignment="1">
      <alignment horizontal="right"/>
    </xf>
    <xf numFmtId="3" fontId="0" fillId="7" borderId="0" xfId="0" applyNumberFormat="1" applyFill="1" applyAlignment="1">
      <alignment horizontal="right"/>
    </xf>
    <xf numFmtId="165" fontId="0" fillId="7" borderId="0" xfId="0" applyNumberFormat="1" applyFill="1" applyAlignment="1">
      <alignment horizontal="right"/>
    </xf>
    <xf numFmtId="179" fontId="0" fillId="7" borderId="0" xfId="0" applyFill="1" applyAlignment="1">
      <alignment horizontal="right"/>
    </xf>
    <xf numFmtId="170" fontId="0" fillId="7" borderId="1" xfId="0" applyNumberFormat="1" applyFill="1" applyBorder="1" applyAlignment="1">
      <alignment horizontal="right"/>
    </xf>
    <xf numFmtId="170" fontId="0" fillId="4" borderId="0" xfId="0" applyNumberFormat="1" applyFill="1" applyAlignment="1">
      <alignment horizontal="right"/>
    </xf>
    <xf numFmtId="170" fontId="7" fillId="7" borderId="0" xfId="0" applyNumberFormat="1" applyFont="1" applyFill="1" applyAlignment="1">
      <alignment horizontal="right"/>
    </xf>
    <xf numFmtId="179" fontId="0" fillId="2" borderId="0" xfId="0" applyFill="1" applyAlignment="1">
      <alignment horizontal="right"/>
    </xf>
    <xf numFmtId="166" fontId="0" fillId="7" borderId="0" xfId="0" applyNumberFormat="1" applyFill="1" applyAlignment="1">
      <alignment horizontal="right"/>
    </xf>
    <xf numFmtId="179" fontId="0" fillId="7" borderId="0" xfId="0" applyFill="1">
      <alignment vertical="top"/>
    </xf>
    <xf numFmtId="179" fontId="11" fillId="2" borderId="0" xfId="0" applyFont="1" applyFill="1" applyAlignment="1">
      <alignment horizontal="left"/>
    </xf>
    <xf numFmtId="170" fontId="11" fillId="2" borderId="0" xfId="0" applyNumberFormat="1" applyFont="1" applyFill="1" applyAlignment="1">
      <alignment horizontal="right"/>
    </xf>
    <xf numFmtId="179" fontId="11" fillId="2" borderId="0" xfId="0" applyFont="1" applyFill="1">
      <alignment vertical="top"/>
    </xf>
    <xf numFmtId="170" fontId="0" fillId="2" borderId="1" xfId="0" applyNumberFormat="1" applyFill="1" applyBorder="1" applyAlignment="1">
      <alignment horizontal="right"/>
    </xf>
    <xf numFmtId="172" fontId="0" fillId="2" borderId="0" xfId="0" applyNumberFormat="1" applyFill="1" applyAlignment="1">
      <alignment horizontal="right"/>
    </xf>
    <xf numFmtId="172" fontId="0" fillId="7" borderId="0" xfId="0" applyNumberFormat="1" applyFill="1" applyAlignment="1">
      <alignment horizontal="right"/>
    </xf>
    <xf numFmtId="179" fontId="12" fillId="2" borderId="0" xfId="0" applyFont="1" applyFill="1" applyAlignment="1">
      <alignment horizontal="left"/>
    </xf>
    <xf numFmtId="170" fontId="12" fillId="2" borderId="1" xfId="0" applyNumberFormat="1" applyFont="1" applyFill="1" applyBorder="1" applyAlignment="1">
      <alignment horizontal="right"/>
    </xf>
    <xf numFmtId="166" fontId="0" fillId="2" borderId="1" xfId="0" applyNumberFormat="1" applyFill="1" applyBorder="1" applyAlignment="1">
      <alignment horizontal="right"/>
    </xf>
    <xf numFmtId="170" fontId="7" fillId="2" borderId="0" xfId="0" applyNumberFormat="1" applyFont="1" applyFill="1" applyBorder="1" applyAlignment="1">
      <alignment horizontal="right"/>
    </xf>
    <xf numFmtId="179" fontId="0" fillId="8" borderId="0" xfId="0" applyFill="1">
      <alignment vertical="top"/>
    </xf>
    <xf numFmtId="3" fontId="0" fillId="8" borderId="0" xfId="0" applyNumberFormat="1" applyFill="1" applyAlignment="1">
      <alignment horizontal="right"/>
    </xf>
    <xf numFmtId="179" fontId="13" fillId="8" borderId="0" xfId="0" applyFont="1" applyFill="1" applyBorder="1" applyAlignment="1">
      <alignment vertical="center" wrapText="1"/>
    </xf>
    <xf numFmtId="179" fontId="13" fillId="8" borderId="0" xfId="0" applyFont="1" applyFill="1" applyBorder="1" applyAlignment="1">
      <alignment vertical="center"/>
    </xf>
    <xf numFmtId="179" fontId="0" fillId="2" borderId="0" xfId="0" applyFill="1" applyAlignment="1">
      <alignment horizontal="right"/>
    </xf>
    <xf numFmtId="179" fontId="0" fillId="2" borderId="0" xfId="0" applyFill="1" applyAlignment="1">
      <alignment horizontal="left"/>
    </xf>
    <xf numFmtId="170" fontId="0" fillId="8" borderId="0" xfId="0" applyNumberFormat="1" applyFill="1" applyAlignment="1">
      <alignment horizontal="right"/>
    </xf>
    <xf numFmtId="170" fontId="0" fillId="8" borderId="0" xfId="0" applyNumberFormat="1" applyFill="1" applyBorder="1" applyAlignment="1">
      <alignment horizontal="right"/>
    </xf>
    <xf numFmtId="170" fontId="0" fillId="8" borderId="1" xfId="0" applyNumberFormat="1" applyFill="1" applyBorder="1" applyAlignment="1">
      <alignment horizontal="right"/>
    </xf>
    <xf numFmtId="166" fontId="0" fillId="2" borderId="0" xfId="3" applyNumberFormat="1" applyFont="1" applyFill="1" applyAlignment="1">
      <alignment horizontal="right"/>
    </xf>
    <xf numFmtId="165" fontId="0" fillId="5" borderId="0" xfId="0" applyNumberFormat="1" applyFill="1" applyAlignment="1">
      <alignment horizontal="right"/>
    </xf>
    <xf numFmtId="179" fontId="0" fillId="2" borderId="0" xfId="0" applyFill="1" applyAlignment="1">
      <alignment horizontal="right"/>
    </xf>
    <xf numFmtId="179" fontId="0" fillId="2" borderId="0" xfId="0" applyFill="1" applyAlignment="1">
      <alignment horizontal="left"/>
    </xf>
    <xf numFmtId="3" fontId="11" fillId="8" borderId="0" xfId="0" applyNumberFormat="1" applyFont="1" applyFill="1" applyAlignment="1">
      <alignment horizontal="right"/>
    </xf>
    <xf numFmtId="179" fontId="14" fillId="3" borderId="0" xfId="0" applyFont="1" applyFill="1" applyAlignment="1">
      <alignment horizontal="center"/>
    </xf>
    <xf numFmtId="15" fontId="14" fillId="3" borderId="0" xfId="0" applyNumberFormat="1" applyFont="1" applyFill="1" applyAlignment="1">
      <alignment horizontal="center"/>
    </xf>
    <xf numFmtId="168" fontId="14" fillId="3" borderId="0" xfId="0" applyNumberFormat="1" applyFont="1" applyFill="1" applyAlignment="1">
      <alignment horizontal="center"/>
    </xf>
    <xf numFmtId="179" fontId="9" fillId="3" borderId="0" xfId="0" applyFont="1" applyFill="1" applyAlignment="1"/>
    <xf numFmtId="165" fontId="0" fillId="8" borderId="0" xfId="0" applyNumberFormat="1" applyFill="1" applyAlignment="1">
      <alignment horizontal="right"/>
    </xf>
    <xf numFmtId="166" fontId="0" fillId="8" borderId="0" xfId="0" applyNumberFormat="1" applyFill="1" applyAlignment="1">
      <alignment horizontal="right"/>
    </xf>
    <xf numFmtId="179" fontId="0" fillId="8" borderId="0" xfId="0" applyFill="1" applyAlignment="1">
      <alignment horizontal="right"/>
    </xf>
    <xf numFmtId="170" fontId="12" fillId="8" borderId="1" xfId="0" applyNumberFormat="1" applyFont="1" applyFill="1" applyBorder="1" applyAlignment="1">
      <alignment horizontal="right"/>
    </xf>
    <xf numFmtId="170" fontId="7" fillId="8" borderId="0" xfId="0" applyNumberFormat="1" applyFont="1" applyFill="1" applyAlignment="1">
      <alignment horizontal="right"/>
    </xf>
    <xf numFmtId="166" fontId="0" fillId="8" borderId="1" xfId="0" applyNumberFormat="1" applyFill="1" applyBorder="1" applyAlignment="1">
      <alignment horizontal="right"/>
    </xf>
    <xf numFmtId="170" fontId="7" fillId="8" borderId="3" xfId="0" applyNumberFormat="1" applyFont="1" applyFill="1" applyBorder="1" applyAlignment="1">
      <alignment horizontal="right"/>
    </xf>
    <xf numFmtId="4" fontId="7" fillId="2" borderId="0" xfId="0" applyNumberFormat="1" applyFont="1" applyFill="1" applyAlignment="1">
      <alignment horizontal="right"/>
    </xf>
    <xf numFmtId="166" fontId="7" fillId="2" borderId="0" xfId="0" applyNumberFormat="1" applyFont="1" applyFill="1" applyAlignment="1">
      <alignment horizontal="right"/>
    </xf>
    <xf numFmtId="3" fontId="7" fillId="2" borderId="0" xfId="0" applyNumberFormat="1" applyFont="1" applyFill="1" applyAlignment="1">
      <alignment horizontal="right"/>
    </xf>
    <xf numFmtId="179" fontId="11" fillId="2" borderId="0" xfId="0" applyFont="1" applyFill="1" applyAlignment="1">
      <alignment horizontal="right"/>
    </xf>
    <xf numFmtId="172" fontId="11" fillId="2" borderId="0" xfId="0" applyNumberFormat="1" applyFont="1" applyFill="1" applyAlignment="1">
      <alignment horizontal="right"/>
    </xf>
    <xf numFmtId="179" fontId="0" fillId="2" borderId="0" xfId="0" applyFill="1" applyAlignment="1">
      <alignment horizontal="right"/>
    </xf>
    <xf numFmtId="164" fontId="8" fillId="3" borderId="0" xfId="1" applyFont="1" applyFill="1" applyAlignment="1">
      <alignment horizontal="center"/>
    </xf>
    <xf numFmtId="179" fontId="0" fillId="2" borderId="0" xfId="0" applyFill="1" applyAlignment="1">
      <alignment horizontal="right"/>
    </xf>
    <xf numFmtId="179" fontId="0" fillId="2" borderId="0" xfId="0" applyFill="1" applyAlignment="1">
      <alignment horizontal="left"/>
    </xf>
    <xf numFmtId="179" fontId="0" fillId="8" borderId="18" xfId="0" applyFill="1" applyBorder="1">
      <alignment vertical="top"/>
    </xf>
    <xf numFmtId="179" fontId="0" fillId="8" borderId="1" xfId="0" applyFill="1" applyBorder="1">
      <alignment vertical="top"/>
    </xf>
    <xf numFmtId="179" fontId="0" fillId="8" borderId="19" xfId="0" applyFill="1" applyBorder="1">
      <alignment vertical="top"/>
    </xf>
    <xf numFmtId="179" fontId="0" fillId="8" borderId="0" xfId="0" applyFill="1" applyAlignment="1">
      <alignment horizontal="left"/>
    </xf>
    <xf numFmtId="179" fontId="19" fillId="11" borderId="0" xfId="0" applyFont="1" applyFill="1" applyBorder="1" applyAlignment="1">
      <alignment horizontal="left" vertical="center"/>
    </xf>
    <xf numFmtId="179" fontId="0" fillId="11" borderId="0" xfId="0" applyFill="1">
      <alignment vertical="top"/>
    </xf>
    <xf numFmtId="179" fontId="20" fillId="11" borderId="0" xfId="0" applyFont="1" applyFill="1" applyBorder="1" applyAlignment="1">
      <alignment horizontal="left" vertical="center"/>
    </xf>
    <xf numFmtId="179" fontId="11" fillId="11" borderId="0" xfId="0" applyFont="1" applyFill="1" applyAlignment="1">
      <alignment horizontal="right"/>
    </xf>
    <xf numFmtId="164" fontId="0" fillId="11" borderId="0" xfId="1" applyFont="1" applyFill="1"/>
    <xf numFmtId="179" fontId="19" fillId="11" borderId="0" xfId="0" applyFont="1" applyFill="1" applyBorder="1" applyAlignment="1">
      <alignment vertical="center"/>
    </xf>
    <xf numFmtId="173" fontId="0" fillId="11" borderId="0" xfId="1" applyNumberFormat="1" applyFont="1" applyFill="1"/>
    <xf numFmtId="170" fontId="7" fillId="8" borderId="2" xfId="0" applyNumberFormat="1" applyFont="1" applyFill="1" applyBorder="1" applyAlignment="1">
      <alignment horizontal="right"/>
    </xf>
    <xf numFmtId="179" fontId="7" fillId="2" borderId="0" xfId="0" applyFont="1" applyFill="1" applyAlignment="1">
      <alignment horizontal="left" wrapText="1"/>
    </xf>
    <xf numFmtId="164" fontId="0" fillId="8" borderId="0" xfId="1" applyFont="1" applyFill="1" applyAlignment="1">
      <alignment horizontal="right"/>
    </xf>
    <xf numFmtId="179" fontId="22" fillId="8" borderId="15" xfId="0" applyFont="1" applyFill="1" applyBorder="1">
      <alignment vertical="top"/>
    </xf>
    <xf numFmtId="179" fontId="23" fillId="10" borderId="15" xfId="0" applyFont="1" applyFill="1" applyBorder="1">
      <alignment vertical="top"/>
    </xf>
    <xf numFmtId="179" fontId="24" fillId="8" borderId="15" xfId="0" applyFont="1" applyFill="1" applyBorder="1">
      <alignment vertical="top"/>
    </xf>
    <xf numFmtId="180" fontId="23" fillId="10" borderId="15" xfId="3" applyFont="1" applyFill="1" applyBorder="1">
      <alignment vertical="top"/>
    </xf>
    <xf numFmtId="179" fontId="23" fillId="8" borderId="15" xfId="0" applyFont="1" applyFill="1" applyBorder="1">
      <alignment vertical="top"/>
    </xf>
    <xf numFmtId="179" fontId="21" fillId="9" borderId="12" xfId="0" applyFont="1" applyFill="1" applyBorder="1">
      <alignment vertical="top"/>
    </xf>
    <xf numFmtId="179" fontId="21" fillId="9" borderId="15" xfId="0" applyFont="1" applyFill="1" applyBorder="1">
      <alignment vertical="top"/>
    </xf>
    <xf numFmtId="3" fontId="0" fillId="8" borderId="0" xfId="0" applyNumberFormat="1" applyFill="1">
      <alignment vertical="top"/>
    </xf>
    <xf numFmtId="179" fontId="0" fillId="9" borderId="13" xfId="0" applyFill="1" applyBorder="1">
      <alignment vertical="top"/>
    </xf>
    <xf numFmtId="179" fontId="18" fillId="9" borderId="14" xfId="0" applyFont="1" applyFill="1" applyBorder="1" applyAlignment="1">
      <alignment horizontal="right"/>
    </xf>
    <xf numFmtId="179" fontId="21" fillId="9" borderId="0" xfId="0" applyFont="1" applyFill="1" applyBorder="1">
      <alignment vertical="top"/>
    </xf>
    <xf numFmtId="179" fontId="21" fillId="9" borderId="16" xfId="0" applyFont="1" applyFill="1" applyBorder="1">
      <alignment vertical="top"/>
    </xf>
    <xf numFmtId="179" fontId="23" fillId="8" borderId="0" xfId="0" applyFont="1" applyFill="1" applyBorder="1">
      <alignment vertical="top"/>
    </xf>
    <xf numFmtId="179" fontId="23" fillId="8" borderId="16" xfId="0" applyFont="1" applyFill="1" applyBorder="1">
      <alignment vertical="top"/>
    </xf>
    <xf numFmtId="3" fontId="23" fillId="10" borderId="0" xfId="0" applyNumberFormat="1" applyFont="1" applyFill="1" applyBorder="1">
      <alignment vertical="top"/>
    </xf>
    <xf numFmtId="3" fontId="23" fillId="10" borderId="16" xfId="0" applyNumberFormat="1" applyFont="1" applyFill="1" applyBorder="1">
      <alignment vertical="top"/>
    </xf>
    <xf numFmtId="166" fontId="24" fillId="8" borderId="0" xfId="3" applyNumberFormat="1" applyFont="1" applyFill="1" applyBorder="1">
      <alignment vertical="top"/>
    </xf>
    <xf numFmtId="166" fontId="24" fillId="8" borderId="16" xfId="3" applyNumberFormat="1" applyFont="1" applyFill="1" applyBorder="1">
      <alignment vertical="top"/>
    </xf>
    <xf numFmtId="164" fontId="23" fillId="10" borderId="0" xfId="1" applyFont="1" applyFill="1" applyBorder="1"/>
    <xf numFmtId="164" fontId="23" fillId="10" borderId="16" xfId="1" applyFont="1" applyFill="1" applyBorder="1"/>
    <xf numFmtId="4" fontId="23" fillId="10" borderId="0" xfId="0" applyNumberFormat="1" applyFont="1" applyFill="1" applyBorder="1">
      <alignment vertical="top"/>
    </xf>
    <xf numFmtId="4" fontId="23" fillId="10" borderId="16" xfId="0" applyNumberFormat="1" applyFont="1" applyFill="1" applyBorder="1">
      <alignment vertical="top"/>
    </xf>
    <xf numFmtId="166" fontId="23" fillId="10" borderId="0" xfId="3" applyNumberFormat="1" applyFont="1" applyFill="1" applyBorder="1">
      <alignment vertical="top"/>
    </xf>
    <xf numFmtId="166" fontId="23" fillId="10" borderId="16" xfId="3" applyNumberFormat="1" applyFont="1" applyFill="1" applyBorder="1">
      <alignment vertical="top"/>
    </xf>
    <xf numFmtId="166" fontId="23" fillId="8" borderId="0" xfId="3" applyNumberFormat="1" applyFont="1" applyFill="1" applyBorder="1">
      <alignment vertical="top"/>
    </xf>
    <xf numFmtId="166" fontId="23" fillId="8" borderId="16" xfId="3" applyNumberFormat="1" applyFont="1" applyFill="1" applyBorder="1">
      <alignment vertical="top"/>
    </xf>
    <xf numFmtId="166" fontId="23" fillId="10" borderId="0" xfId="0" applyNumberFormat="1" applyFont="1" applyFill="1" applyBorder="1">
      <alignment vertical="top"/>
    </xf>
    <xf numFmtId="166" fontId="23" fillId="10" borderId="16" xfId="0" applyNumberFormat="1" applyFont="1" applyFill="1" applyBorder="1">
      <alignment vertical="top"/>
    </xf>
    <xf numFmtId="3" fontId="23" fillId="8" borderId="0" xfId="0" applyNumberFormat="1" applyFont="1" applyFill="1" applyBorder="1">
      <alignment vertical="top"/>
    </xf>
    <xf numFmtId="3" fontId="23" fillId="8" borderId="16" xfId="0" applyNumberFormat="1" applyFont="1" applyFill="1" applyBorder="1">
      <alignment vertical="top"/>
    </xf>
    <xf numFmtId="171" fontId="23" fillId="10" borderId="0" xfId="0" applyNumberFormat="1" applyFont="1" applyFill="1" applyBorder="1" applyAlignment="1">
      <alignment horizontal="right"/>
    </xf>
    <xf numFmtId="171" fontId="23" fillId="10" borderId="16" xfId="0" applyNumberFormat="1" applyFont="1" applyFill="1" applyBorder="1" applyAlignment="1">
      <alignment horizontal="right"/>
    </xf>
    <xf numFmtId="166" fontId="0" fillId="8" borderId="0" xfId="0" applyNumberFormat="1" applyFill="1">
      <alignment vertical="top"/>
    </xf>
    <xf numFmtId="166" fontId="0" fillId="8" borderId="0" xfId="3" applyNumberFormat="1" applyFont="1" applyFill="1">
      <alignment vertical="top"/>
    </xf>
    <xf numFmtId="164" fontId="0" fillId="8" borderId="0" xfId="0" applyNumberFormat="1" applyFill="1">
      <alignment vertical="top"/>
    </xf>
    <xf numFmtId="173" fontId="0" fillId="8" borderId="0" xfId="1" applyNumberFormat="1" applyFont="1" applyFill="1"/>
    <xf numFmtId="4" fontId="0" fillId="8" borderId="0" xfId="0" applyNumberFormat="1" applyFill="1">
      <alignment vertical="top"/>
    </xf>
    <xf numFmtId="179" fontId="23" fillId="8" borderId="0" xfId="0" applyFont="1" applyFill="1">
      <alignment vertical="top"/>
    </xf>
    <xf numFmtId="179" fontId="11" fillId="8" borderId="0" xfId="0" applyFont="1" applyFill="1">
      <alignment vertical="top"/>
    </xf>
    <xf numFmtId="179" fontId="26" fillId="8" borderId="0" xfId="0" applyFont="1" applyFill="1">
      <alignment vertical="top"/>
    </xf>
    <xf numFmtId="170" fontId="5" fillId="8" borderId="1" xfId="0" applyNumberFormat="1" applyFont="1" applyFill="1" applyBorder="1" applyAlignment="1">
      <alignment horizontal="right"/>
    </xf>
    <xf numFmtId="166" fontId="24" fillId="8" borderId="0" xfId="3" applyNumberFormat="1" applyFont="1" applyFill="1">
      <alignment vertical="top"/>
    </xf>
    <xf numFmtId="179" fontId="24" fillId="8" borderId="0" xfId="0" applyFont="1" applyFill="1">
      <alignment vertical="top"/>
    </xf>
    <xf numFmtId="170" fontId="11" fillId="8" borderId="3" xfId="0" applyNumberFormat="1" applyFont="1" applyFill="1" applyBorder="1" applyAlignment="1">
      <alignment horizontal="right"/>
    </xf>
    <xf numFmtId="170" fontId="5" fillId="10" borderId="1" xfId="0" applyNumberFormat="1" applyFont="1" applyFill="1" applyBorder="1" applyAlignment="1">
      <alignment horizontal="right"/>
    </xf>
    <xf numFmtId="170" fontId="11" fillId="10" borderId="3" xfId="0" applyNumberFormat="1" applyFont="1" applyFill="1" applyBorder="1" applyAlignment="1">
      <alignment horizontal="right"/>
    </xf>
    <xf numFmtId="179" fontId="18" fillId="9" borderId="12" xfId="0" applyFont="1" applyFill="1" applyBorder="1">
      <alignment vertical="top"/>
    </xf>
    <xf numFmtId="179" fontId="18" fillId="9" borderId="13" xfId="0" applyFont="1" applyFill="1" applyBorder="1">
      <alignment vertical="top"/>
    </xf>
    <xf numFmtId="179" fontId="18" fillId="9" borderId="13" xfId="0" applyFont="1" applyFill="1" applyBorder="1" applyAlignment="1">
      <alignment horizontal="right"/>
    </xf>
    <xf numFmtId="179" fontId="18" fillId="9" borderId="14" xfId="0" applyFont="1" applyFill="1" applyBorder="1">
      <alignment vertical="top"/>
    </xf>
    <xf numFmtId="179" fontId="18" fillId="9" borderId="15" xfId="0" applyFont="1" applyFill="1" applyBorder="1">
      <alignment vertical="top"/>
    </xf>
    <xf numFmtId="179" fontId="18" fillId="9" borderId="0" xfId="0" applyFont="1" applyFill="1" applyBorder="1">
      <alignment vertical="top"/>
    </xf>
    <xf numFmtId="179" fontId="18" fillId="9" borderId="0" xfId="0" applyFont="1" applyFill="1" applyBorder="1" applyAlignment="1">
      <alignment horizontal="right"/>
    </xf>
    <xf numFmtId="179" fontId="18" fillId="9" borderId="16" xfId="0" applyFont="1" applyFill="1" applyBorder="1" applyAlignment="1">
      <alignment horizontal="right"/>
    </xf>
    <xf numFmtId="179" fontId="5" fillId="8" borderId="15" xfId="0" applyFont="1" applyFill="1" applyBorder="1">
      <alignment vertical="top"/>
    </xf>
    <xf numFmtId="170" fontId="5" fillId="8" borderId="0" xfId="0" applyNumberFormat="1" applyFont="1" applyFill="1" applyBorder="1" applyAlignment="1">
      <alignment horizontal="right"/>
    </xf>
    <xf numFmtId="170" fontId="5" fillId="10" borderId="0" xfId="0" applyNumberFormat="1" applyFont="1" applyFill="1" applyBorder="1" applyAlignment="1">
      <alignment horizontal="right"/>
    </xf>
    <xf numFmtId="170" fontId="5" fillId="8" borderId="16" xfId="0" applyNumberFormat="1" applyFont="1" applyFill="1" applyBorder="1" applyAlignment="1">
      <alignment horizontal="right"/>
    </xf>
    <xf numFmtId="170" fontId="5" fillId="8" borderId="19" xfId="0" applyNumberFormat="1" applyFont="1" applyFill="1" applyBorder="1" applyAlignment="1">
      <alignment horizontal="right"/>
    </xf>
    <xf numFmtId="179" fontId="11" fillId="8" borderId="15" xfId="0" applyFont="1" applyFill="1" applyBorder="1">
      <alignment vertical="top"/>
    </xf>
    <xf numFmtId="170" fontId="11" fillId="8" borderId="0" xfId="0" applyNumberFormat="1" applyFont="1" applyFill="1" applyBorder="1" applyAlignment="1">
      <alignment horizontal="right"/>
    </xf>
    <xf numFmtId="170" fontId="11" fillId="10" borderId="0" xfId="0" applyNumberFormat="1" applyFont="1" applyFill="1" applyBorder="1" applyAlignment="1">
      <alignment horizontal="right"/>
    </xf>
    <xf numFmtId="170" fontId="11" fillId="8" borderId="16" xfId="0" applyNumberFormat="1" applyFont="1" applyFill="1" applyBorder="1" applyAlignment="1">
      <alignment horizontal="right"/>
    </xf>
    <xf numFmtId="166" fontId="12" fillId="10" borderId="15" xfId="3" applyNumberFormat="1" applyFont="1" applyFill="1" applyBorder="1">
      <alignment vertical="top"/>
    </xf>
    <xf numFmtId="166" fontId="12" fillId="10" borderId="0" xfId="3" applyNumberFormat="1" applyFont="1" applyFill="1" applyBorder="1" applyAlignment="1">
      <alignment horizontal="right"/>
    </xf>
    <xf numFmtId="166" fontId="12" fillId="10" borderId="16" xfId="3" applyNumberFormat="1" applyFont="1" applyFill="1" applyBorder="1" applyAlignment="1">
      <alignment horizontal="right"/>
    </xf>
    <xf numFmtId="179" fontId="12" fillId="10" borderId="15" xfId="0" applyFont="1" applyFill="1" applyBorder="1">
      <alignment vertical="top"/>
    </xf>
    <xf numFmtId="170" fontId="11" fillId="8" borderId="17" xfId="0" applyNumberFormat="1" applyFont="1" applyFill="1" applyBorder="1" applyAlignment="1">
      <alignment horizontal="right"/>
    </xf>
    <xf numFmtId="179" fontId="18" fillId="9" borderId="16" xfId="0" applyFont="1" applyFill="1" applyBorder="1">
      <alignment vertical="top"/>
    </xf>
    <xf numFmtId="179" fontId="0" fillId="8" borderId="15" xfId="0" applyFill="1" applyBorder="1">
      <alignment vertical="top"/>
    </xf>
    <xf numFmtId="179" fontId="27" fillId="10" borderId="15" xfId="0" applyFont="1" applyFill="1" applyBorder="1">
      <alignment vertical="top"/>
    </xf>
    <xf numFmtId="171" fontId="27" fillId="10" borderId="0" xfId="0" applyNumberFormat="1" applyFont="1" applyFill="1" applyBorder="1" applyAlignment="1">
      <alignment horizontal="right"/>
    </xf>
    <xf numFmtId="170" fontId="0" fillId="8" borderId="0" xfId="0" applyNumberFormat="1" applyFill="1">
      <alignment vertical="top"/>
    </xf>
    <xf numFmtId="170" fontId="11" fillId="8" borderId="3" xfId="0" applyNumberFormat="1" applyFont="1" applyFill="1" applyBorder="1">
      <alignment vertical="top"/>
    </xf>
    <xf numFmtId="179" fontId="0" fillId="10" borderId="15" xfId="0" applyFill="1" applyBorder="1">
      <alignment vertical="top"/>
    </xf>
    <xf numFmtId="170" fontId="5" fillId="10" borderId="16" xfId="0" applyNumberFormat="1" applyFont="1" applyFill="1" applyBorder="1" applyAlignment="1">
      <alignment horizontal="right"/>
    </xf>
    <xf numFmtId="170" fontId="11" fillId="8" borderId="17" xfId="0" applyNumberFormat="1" applyFont="1" applyFill="1" applyBorder="1">
      <alignment vertical="top"/>
    </xf>
    <xf numFmtId="170" fontId="5" fillId="8" borderId="0" xfId="0" applyNumberFormat="1" applyFont="1" applyFill="1" applyBorder="1" applyAlignment="1">
      <alignment horizontal="right" vertical="center"/>
    </xf>
    <xf numFmtId="170" fontId="5" fillId="10" borderId="0" xfId="0" applyNumberFormat="1" applyFont="1" applyFill="1" applyBorder="1" applyAlignment="1">
      <alignment horizontal="right" vertical="center"/>
    </xf>
    <xf numFmtId="179" fontId="0" fillId="2" borderId="15" xfId="0" applyFill="1" applyBorder="1" applyAlignment="1">
      <alignment horizontal="left" wrapText="1"/>
    </xf>
    <xf numFmtId="179" fontId="0" fillId="10" borderId="15" xfId="0" applyFill="1" applyBorder="1" applyAlignment="1">
      <alignment horizontal="left" wrapText="1"/>
    </xf>
    <xf numFmtId="4" fontId="0" fillId="8" borderId="0" xfId="0" applyNumberFormat="1" applyFill="1" applyBorder="1">
      <alignment vertical="top"/>
    </xf>
    <xf numFmtId="170" fontId="11" fillId="8" borderId="0" xfId="0" applyNumberFormat="1" applyFont="1" applyFill="1" applyBorder="1">
      <alignment vertical="top"/>
    </xf>
    <xf numFmtId="179" fontId="0" fillId="8" borderId="0" xfId="0" applyFill="1" applyBorder="1">
      <alignment vertical="top"/>
    </xf>
    <xf numFmtId="170" fontId="11" fillId="10" borderId="0" xfId="0" applyNumberFormat="1" applyFont="1" applyFill="1" applyBorder="1" applyAlignment="1">
      <alignment horizontal="right" vertical="center"/>
    </xf>
    <xf numFmtId="17" fontId="18" fillId="9" borderId="16" xfId="0" applyNumberFormat="1" applyFont="1" applyFill="1" applyBorder="1">
      <alignment vertical="top"/>
    </xf>
    <xf numFmtId="170" fontId="5" fillId="8" borderId="1" xfId="0" applyNumberFormat="1" applyFont="1" applyFill="1" applyBorder="1" applyAlignment="1">
      <alignment horizontal="right" vertical="center"/>
    </xf>
    <xf numFmtId="179" fontId="12" fillId="8" borderId="0" xfId="0" applyFont="1" applyFill="1">
      <alignment vertical="top"/>
    </xf>
    <xf numFmtId="170" fontId="27" fillId="8" borderId="2" xfId="0" applyNumberFormat="1" applyFont="1" applyFill="1" applyBorder="1" applyAlignment="1">
      <alignment horizontal="right" vertical="center"/>
    </xf>
    <xf numFmtId="179" fontId="27" fillId="8" borderId="0" xfId="0" applyFont="1" applyFill="1">
      <alignment vertical="top"/>
    </xf>
    <xf numFmtId="170" fontId="27" fillId="8" borderId="0" xfId="0" applyNumberFormat="1" applyFont="1" applyFill="1" applyBorder="1" applyAlignment="1">
      <alignment horizontal="right" vertical="center"/>
    </xf>
    <xf numFmtId="170" fontId="11" fillId="10" borderId="3" xfId="0" applyNumberFormat="1" applyFont="1" applyFill="1" applyBorder="1" applyAlignment="1">
      <alignment horizontal="right" vertical="center"/>
    </xf>
    <xf numFmtId="179" fontId="4" fillId="8" borderId="15" xfId="0" applyFont="1" applyFill="1" applyBorder="1" applyAlignment="1">
      <alignment horizontal="left" wrapText="1"/>
    </xf>
    <xf numFmtId="170" fontId="5" fillId="8" borderId="19" xfId="0" applyNumberFormat="1" applyFont="1" applyFill="1" applyBorder="1" applyAlignment="1">
      <alignment horizontal="right" vertical="center"/>
    </xf>
    <xf numFmtId="179" fontId="11" fillId="10" borderId="15" xfId="0" applyFont="1" applyFill="1" applyBorder="1" applyAlignment="1">
      <alignment horizontal="left" wrapText="1"/>
    </xf>
    <xf numFmtId="179" fontId="27" fillId="8" borderId="15" xfId="0" applyFont="1" applyFill="1" applyBorder="1" applyAlignment="1">
      <alignment horizontal="left" wrapText="1"/>
    </xf>
    <xf numFmtId="179" fontId="4" fillId="8" borderId="15" xfId="0" applyFont="1" applyFill="1" applyBorder="1">
      <alignment vertical="top"/>
    </xf>
    <xf numFmtId="179" fontId="11" fillId="10" borderId="15" xfId="0" applyFont="1" applyFill="1" applyBorder="1">
      <alignment vertical="top"/>
    </xf>
    <xf numFmtId="179" fontId="27" fillId="8" borderId="15" xfId="0" applyFont="1" applyFill="1" applyBorder="1">
      <alignment vertical="top"/>
    </xf>
    <xf numFmtId="170" fontId="0" fillId="8" borderId="1" xfId="0" applyNumberFormat="1" applyFill="1" applyBorder="1">
      <alignment vertical="top"/>
    </xf>
    <xf numFmtId="170" fontId="0" fillId="8" borderId="0" xfId="0" applyNumberFormat="1" applyFill="1" applyBorder="1">
      <alignment vertical="top"/>
    </xf>
    <xf numFmtId="166" fontId="27" fillId="10" borderId="0" xfId="3" applyNumberFormat="1" applyFont="1" applyFill="1" applyBorder="1">
      <alignment vertical="top"/>
    </xf>
    <xf numFmtId="9" fontId="0" fillId="8" borderId="0" xfId="0" applyNumberFormat="1" applyFill="1">
      <alignment vertical="top"/>
    </xf>
    <xf numFmtId="174" fontId="5" fillId="8" borderId="0" xfId="0" applyNumberFormat="1" applyFont="1" applyFill="1" applyBorder="1" applyAlignment="1">
      <alignment horizontal="right" vertical="center"/>
    </xf>
    <xf numFmtId="164" fontId="0" fillId="2" borderId="0" xfId="1" applyFont="1" applyFill="1" applyAlignment="1">
      <alignment horizontal="right"/>
    </xf>
    <xf numFmtId="175" fontId="0" fillId="2" borderId="0" xfId="1" applyNumberFormat="1" applyFont="1" applyFill="1" applyAlignment="1">
      <alignment horizontal="right"/>
    </xf>
    <xf numFmtId="179" fontId="8" fillId="3" borderId="20" xfId="0" applyFont="1" applyFill="1" applyBorder="1" applyAlignment="1">
      <alignment horizontal="center"/>
    </xf>
    <xf numFmtId="168" fontId="8" fillId="3" borderId="20" xfId="0" applyNumberFormat="1" applyFont="1" applyFill="1" applyBorder="1" applyAlignment="1">
      <alignment horizontal="center"/>
    </xf>
    <xf numFmtId="179" fontId="0" fillId="4" borderId="20" xfId="0" applyFill="1" applyBorder="1" applyAlignment="1">
      <alignment horizontal="right"/>
    </xf>
    <xf numFmtId="165" fontId="0" fillId="7" borderId="20" xfId="0" applyNumberFormat="1" applyFill="1" applyBorder="1" applyAlignment="1">
      <alignment horizontal="right"/>
    </xf>
    <xf numFmtId="179" fontId="0" fillId="7" borderId="20" xfId="0" applyFill="1" applyBorder="1" applyAlignment="1">
      <alignment horizontal="right"/>
    </xf>
    <xf numFmtId="3" fontId="0" fillId="7" borderId="20" xfId="0" applyNumberFormat="1" applyFill="1" applyBorder="1" applyAlignment="1">
      <alignment horizontal="right"/>
    </xf>
    <xf numFmtId="3" fontId="0" fillId="2" borderId="20" xfId="0" applyNumberFormat="1" applyFill="1" applyBorder="1" applyAlignment="1">
      <alignment horizontal="right"/>
    </xf>
    <xf numFmtId="165" fontId="0" fillId="2" borderId="20" xfId="0" applyNumberFormat="1" applyFill="1" applyBorder="1" applyAlignment="1">
      <alignment horizontal="right"/>
    </xf>
    <xf numFmtId="4" fontId="0" fillId="2" borderId="20" xfId="0" applyNumberFormat="1" applyFill="1" applyBorder="1" applyAlignment="1">
      <alignment horizontal="right"/>
    </xf>
    <xf numFmtId="179" fontId="0" fillId="8" borderId="20" xfId="0" applyFill="1" applyBorder="1" applyAlignment="1">
      <alignment horizontal="right"/>
    </xf>
    <xf numFmtId="166" fontId="0" fillId="8" borderId="20" xfId="0" applyNumberFormat="1" applyFill="1" applyBorder="1" applyAlignment="1">
      <alignment horizontal="right"/>
    </xf>
    <xf numFmtId="165" fontId="0" fillId="5" borderId="20" xfId="0" applyNumberFormat="1" applyFill="1" applyBorder="1" applyAlignment="1">
      <alignment horizontal="right"/>
    </xf>
    <xf numFmtId="179" fontId="0" fillId="2" borderId="0" xfId="0" applyFill="1" applyAlignment="1">
      <alignment horizontal="right"/>
    </xf>
    <xf numFmtId="179" fontId="21" fillId="9" borderId="13" xfId="0" applyFont="1" applyFill="1" applyBorder="1" applyAlignment="1">
      <alignment horizontal="right"/>
    </xf>
    <xf numFmtId="179" fontId="21" fillId="9" borderId="14" xfId="0" applyFont="1" applyFill="1" applyBorder="1" applyAlignment="1">
      <alignment horizontal="right"/>
    </xf>
    <xf numFmtId="170" fontId="0" fillId="2" borderId="0" xfId="0" applyNumberFormat="1" applyFill="1">
      <alignment vertical="top"/>
    </xf>
    <xf numFmtId="176" fontId="0" fillId="8" borderId="0" xfId="0" applyNumberFormat="1" applyFill="1">
      <alignment vertical="top"/>
    </xf>
    <xf numFmtId="179" fontId="31" fillId="10" borderId="15" xfId="0" applyFont="1" applyFill="1" applyBorder="1">
      <alignment vertical="top"/>
    </xf>
    <xf numFmtId="171" fontId="23" fillId="8" borderId="0" xfId="0" applyNumberFormat="1" applyFont="1" applyFill="1" applyBorder="1" applyAlignment="1">
      <alignment horizontal="right"/>
    </xf>
    <xf numFmtId="171" fontId="23" fillId="8" borderId="16" xfId="0" applyNumberFormat="1" applyFont="1" applyFill="1" applyBorder="1" applyAlignment="1">
      <alignment horizontal="right"/>
    </xf>
    <xf numFmtId="179" fontId="25" fillId="8" borderId="18" xfId="0" applyFont="1" applyFill="1" applyBorder="1">
      <alignment vertical="top"/>
    </xf>
    <xf numFmtId="3" fontId="23" fillId="8" borderId="15" xfId="0" applyNumberFormat="1" applyFont="1" applyFill="1" applyBorder="1">
      <alignment vertical="top"/>
    </xf>
    <xf numFmtId="3" fontId="23" fillId="10" borderId="15" xfId="0" applyNumberFormat="1" applyFont="1" applyFill="1" applyBorder="1">
      <alignment vertical="top"/>
    </xf>
    <xf numFmtId="166" fontId="23" fillId="8" borderId="15" xfId="3" applyNumberFormat="1" applyFont="1" applyFill="1" applyBorder="1">
      <alignment vertical="top"/>
    </xf>
    <xf numFmtId="166" fontId="23" fillId="10" borderId="15" xfId="3" applyNumberFormat="1" applyFont="1" applyFill="1" applyBorder="1">
      <alignment vertical="top"/>
    </xf>
    <xf numFmtId="171" fontId="23" fillId="8" borderId="15" xfId="0" applyNumberFormat="1" applyFont="1" applyFill="1" applyBorder="1" applyAlignment="1">
      <alignment horizontal="right"/>
    </xf>
    <xf numFmtId="171" fontId="23" fillId="10" borderId="15" xfId="0" applyNumberFormat="1" applyFont="1" applyFill="1" applyBorder="1" applyAlignment="1">
      <alignment horizontal="right"/>
    </xf>
    <xf numFmtId="179" fontId="0" fillId="0" borderId="0" xfId="0" applyFill="1" applyAlignment="1">
      <alignment horizontal="left"/>
    </xf>
    <xf numFmtId="164" fontId="0" fillId="7" borderId="0" xfId="1" applyFont="1" applyFill="1" applyAlignment="1">
      <alignment horizontal="right"/>
    </xf>
    <xf numFmtId="166" fontId="0" fillId="4" borderId="0" xfId="0" applyNumberFormat="1" applyFill="1" applyAlignment="1">
      <alignment horizontal="right"/>
    </xf>
    <xf numFmtId="179" fontId="25" fillId="8" borderId="0" xfId="0" applyFont="1" applyFill="1" applyBorder="1">
      <alignment vertical="top"/>
    </xf>
    <xf numFmtId="173" fontId="8" fillId="3" borderId="0" xfId="1" applyNumberFormat="1" applyFont="1" applyFill="1" applyAlignment="1">
      <alignment horizontal="center"/>
    </xf>
    <xf numFmtId="180" fontId="0" fillId="2" borderId="0" xfId="3" applyFont="1" applyFill="1" applyAlignment="1">
      <alignment horizontal="right"/>
    </xf>
    <xf numFmtId="179" fontId="32" fillId="8" borderId="0" xfId="0" applyFont="1" applyFill="1" applyAlignment="1">
      <alignment horizontal="right"/>
    </xf>
    <xf numFmtId="179" fontId="32" fillId="8" borderId="0" xfId="0" applyFont="1" applyFill="1">
      <alignment vertical="top"/>
    </xf>
    <xf numFmtId="179" fontId="7" fillId="8" borderId="0" xfId="0" applyFont="1" applyFill="1">
      <alignment vertical="top"/>
    </xf>
    <xf numFmtId="169" fontId="0" fillId="7" borderId="0" xfId="1" applyNumberFormat="1" applyFont="1" applyFill="1" applyAlignment="1">
      <alignment horizontal="right"/>
    </xf>
    <xf numFmtId="169" fontId="0" fillId="7" borderId="0" xfId="1" applyNumberFormat="1" applyFont="1" applyFill="1"/>
    <xf numFmtId="15" fontId="33" fillId="7" borderId="0" xfId="0" applyNumberFormat="1" applyFont="1" applyFill="1" applyAlignment="1">
      <alignment horizontal="center"/>
    </xf>
    <xf numFmtId="179" fontId="33" fillId="8" borderId="0" xfId="0" applyFont="1" applyFill="1">
      <alignment vertical="top"/>
    </xf>
    <xf numFmtId="179" fontId="30" fillId="8" borderId="0" xfId="0" applyFont="1" applyFill="1">
      <alignment vertical="top"/>
    </xf>
    <xf numFmtId="179" fontId="8" fillId="8" borderId="0" xfId="0" applyFont="1" applyFill="1" applyAlignment="1">
      <alignment horizontal="center"/>
    </xf>
    <xf numFmtId="3" fontId="7" fillId="7" borderId="0" xfId="0" applyNumberFormat="1" applyFont="1" applyFill="1" applyAlignment="1">
      <alignment horizontal="right"/>
    </xf>
    <xf numFmtId="179" fontId="7" fillId="7" borderId="0" xfId="0" applyFont="1" applyFill="1" applyAlignment="1">
      <alignment horizontal="right"/>
    </xf>
    <xf numFmtId="15" fontId="7" fillId="8" borderId="0" xfId="0" applyNumberFormat="1" applyFont="1" applyFill="1" applyAlignment="1">
      <alignment horizontal="right"/>
    </xf>
    <xf numFmtId="179" fontId="7" fillId="8" borderId="0" xfId="0" applyFont="1" applyFill="1" applyBorder="1">
      <alignment vertical="top"/>
    </xf>
    <xf numFmtId="179" fontId="7" fillId="7" borderId="0" xfId="0" applyFont="1" applyFill="1" applyBorder="1" applyAlignment="1">
      <alignment horizontal="right"/>
    </xf>
    <xf numFmtId="179" fontId="33" fillId="8" borderId="0" xfId="0" applyFont="1" applyFill="1" applyBorder="1">
      <alignment vertical="top"/>
    </xf>
    <xf numFmtId="179" fontId="35" fillId="8" borderId="0" xfId="0" applyFont="1" applyFill="1">
      <alignment vertical="top"/>
    </xf>
    <xf numFmtId="179" fontId="7" fillId="8" borderId="0" xfId="0" applyFont="1" applyFill="1" applyAlignment="1">
      <alignment horizontal="left"/>
    </xf>
    <xf numFmtId="166" fontId="7" fillId="8" borderId="0" xfId="0" applyNumberFormat="1" applyFont="1" applyFill="1" applyAlignment="1">
      <alignment horizontal="right"/>
    </xf>
    <xf numFmtId="171" fontId="7" fillId="2" borderId="0" xfId="0" applyNumberFormat="1" applyFont="1" applyFill="1" applyAlignment="1">
      <alignment horizontal="right"/>
    </xf>
    <xf numFmtId="164" fontId="7" fillId="2" borderId="0" xfId="1" applyFont="1" applyFill="1" applyAlignment="1">
      <alignment horizontal="right"/>
    </xf>
    <xf numFmtId="170" fontId="7" fillId="8" borderId="0" xfId="0" applyNumberFormat="1" applyFont="1" applyFill="1" applyBorder="1" applyAlignment="1">
      <alignment horizontal="right"/>
    </xf>
    <xf numFmtId="173" fontId="0" fillId="2" borderId="0" xfId="1" applyNumberFormat="1" applyFont="1" applyFill="1"/>
    <xf numFmtId="177" fontId="0" fillId="2" borderId="0" xfId="1" applyNumberFormat="1" applyFont="1" applyFill="1"/>
    <xf numFmtId="3" fontId="7" fillId="5" borderId="0" xfId="0" applyNumberFormat="1" applyFont="1" applyFill="1" applyAlignment="1">
      <alignment horizontal="right"/>
    </xf>
    <xf numFmtId="178" fontId="0" fillId="2" borderId="0" xfId="0" applyNumberFormat="1" applyFill="1" applyAlignment="1">
      <alignment horizontal="right"/>
    </xf>
    <xf numFmtId="178" fontId="7" fillId="2" borderId="0" xfId="0" applyNumberFormat="1" applyFont="1" applyFill="1" applyAlignment="1">
      <alignment horizontal="right"/>
    </xf>
    <xf numFmtId="3" fontId="0" fillId="2" borderId="0" xfId="0" applyNumberFormat="1" applyFill="1">
      <alignment vertical="top"/>
    </xf>
    <xf numFmtId="4" fontId="7" fillId="2" borderId="0" xfId="0" applyNumberFormat="1" applyFont="1" applyFill="1">
      <alignment vertical="top"/>
    </xf>
    <xf numFmtId="180" fontId="0" fillId="2" borderId="0" xfId="3" applyFont="1" applyFill="1">
      <alignment vertical="top"/>
    </xf>
    <xf numFmtId="179" fontId="27" fillId="2" borderId="0" xfId="0" applyFont="1" applyFill="1">
      <alignment vertical="top"/>
    </xf>
    <xf numFmtId="178" fontId="0" fillId="7" borderId="0" xfId="0" applyNumberFormat="1" applyFill="1" applyAlignment="1">
      <alignment horizontal="right"/>
    </xf>
    <xf numFmtId="179" fontId="18" fillId="12" borderId="0" xfId="0" applyFont="1" applyFill="1" applyAlignment="1">
      <alignment horizontal="left"/>
    </xf>
    <xf numFmtId="179" fontId="18" fillId="12" borderId="0" xfId="0" applyFont="1" applyFill="1" applyAlignment="1">
      <alignment horizontal="right"/>
    </xf>
    <xf numFmtId="179" fontId="38" fillId="11" borderId="0" xfId="0" applyFont="1" applyFill="1" applyAlignment="1">
      <alignment horizontal="left"/>
    </xf>
    <xf numFmtId="179" fontId="18" fillId="11" borderId="0" xfId="0" applyFont="1" applyFill="1" applyAlignment="1">
      <alignment horizontal="right"/>
    </xf>
    <xf numFmtId="179" fontId="7" fillId="11" borderId="0" xfId="0" applyFont="1" applyFill="1">
      <alignment vertical="top"/>
    </xf>
    <xf numFmtId="3" fontId="7" fillId="11" borderId="0" xfId="0" applyNumberFormat="1" applyFont="1" applyFill="1" applyAlignment="1">
      <alignment horizontal="right"/>
    </xf>
    <xf numFmtId="179" fontId="7" fillId="7" borderId="0" xfId="0" applyFont="1" applyFill="1">
      <alignment vertical="top"/>
    </xf>
    <xf numFmtId="179" fontId="7" fillId="0" borderId="0" xfId="0" applyFont="1" applyFill="1">
      <alignment vertical="top"/>
    </xf>
    <xf numFmtId="179" fontId="18" fillId="12" borderId="0" xfId="0" applyFont="1" applyFill="1">
      <alignment vertical="top"/>
    </xf>
    <xf numFmtId="3" fontId="18" fillId="12" borderId="0" xfId="0" applyNumberFormat="1" applyFont="1" applyFill="1" applyAlignment="1">
      <alignment horizontal="right"/>
    </xf>
    <xf numFmtId="179" fontId="7" fillId="13" borderId="0" xfId="0" applyFont="1" applyFill="1">
      <alignment vertical="top"/>
    </xf>
    <xf numFmtId="180" fontId="7" fillId="2" borderId="0" xfId="3" applyFont="1" applyFill="1">
      <alignment vertical="top"/>
    </xf>
    <xf numFmtId="185" fontId="0" fillId="7" borderId="0" xfId="0" applyNumberFormat="1" applyFill="1">
      <alignment vertical="top"/>
    </xf>
    <xf numFmtId="179" fontId="0" fillId="12" borderId="0" xfId="0" applyFill="1">
      <alignment vertical="top"/>
    </xf>
    <xf numFmtId="186" fontId="0" fillId="4" borderId="0" xfId="0" applyNumberFormat="1" applyFill="1" applyAlignment="1">
      <alignment horizontal="right"/>
    </xf>
    <xf numFmtId="187" fontId="0" fillId="2" borderId="0" xfId="0" applyNumberFormat="1" applyFill="1">
      <alignment vertical="top"/>
    </xf>
    <xf numFmtId="186" fontId="0" fillId="2" borderId="0" xfId="0" applyNumberFormat="1" applyFill="1">
      <alignment vertical="top"/>
    </xf>
    <xf numFmtId="180" fontId="0" fillId="7" borderId="0" xfId="3" applyFont="1" applyFill="1">
      <alignment vertical="top"/>
    </xf>
    <xf numFmtId="186" fontId="0" fillId="2" borderId="0" xfId="0" applyNumberFormat="1" applyFont="1" applyFill="1">
      <alignment vertical="top"/>
    </xf>
    <xf numFmtId="179" fontId="0" fillId="2" borderId="22" xfId="0" applyFill="1" applyBorder="1">
      <alignment vertical="top"/>
    </xf>
    <xf numFmtId="186" fontId="0" fillId="7" borderId="0" xfId="0" applyNumberFormat="1" applyFill="1">
      <alignment vertical="top"/>
    </xf>
    <xf numFmtId="179" fontId="35" fillId="2" borderId="0" xfId="0" applyFont="1" applyFill="1">
      <alignment vertical="top"/>
    </xf>
    <xf numFmtId="0" fontId="11" fillId="11" borderId="0" xfId="0" applyNumberFormat="1" applyFont="1" applyFill="1">
      <alignment vertical="top"/>
    </xf>
    <xf numFmtId="0" fontId="18" fillId="9" borderId="0" xfId="0" applyNumberFormat="1" applyFont="1" applyFill="1">
      <alignment vertical="top"/>
    </xf>
    <xf numFmtId="179" fontId="18" fillId="9" borderId="0" xfId="0" applyFont="1" applyFill="1">
      <alignment vertical="top"/>
    </xf>
    <xf numFmtId="0" fontId="18" fillId="9" borderId="0" xfId="0" applyNumberFormat="1" applyFont="1" applyFill="1" applyAlignment="1">
      <alignment horizontal="right" vertical="top"/>
    </xf>
    <xf numFmtId="180" fontId="0" fillId="8" borderId="23" xfId="3" applyFont="1" applyFill="1" applyBorder="1">
      <alignment vertical="top"/>
    </xf>
    <xf numFmtId="0" fontId="7" fillId="7" borderId="0" xfId="0" applyNumberFormat="1" applyFont="1" applyFill="1" applyAlignment="1">
      <alignment horizontal="right"/>
    </xf>
    <xf numFmtId="0" fontId="21" fillId="9" borderId="0" xfId="0" applyNumberFormat="1" applyFont="1" applyFill="1" applyBorder="1">
      <alignment vertical="top"/>
    </xf>
    <xf numFmtId="0" fontId="21" fillId="9" borderId="16" xfId="0" applyNumberFormat="1" applyFont="1" applyFill="1" applyBorder="1">
      <alignment vertical="top"/>
    </xf>
    <xf numFmtId="15" fontId="8" fillId="3" borderId="20" xfId="0" applyNumberFormat="1" applyFont="1" applyFill="1" applyBorder="1" applyAlignment="1">
      <alignment horizontal="center"/>
    </xf>
    <xf numFmtId="166" fontId="0" fillId="2" borderId="20" xfId="0" applyNumberFormat="1" applyFill="1" applyBorder="1" applyAlignment="1">
      <alignment horizontal="right"/>
    </xf>
    <xf numFmtId="179" fontId="0" fillId="2" borderId="20" xfId="0" applyFill="1" applyBorder="1" applyAlignment="1">
      <alignment horizontal="right"/>
    </xf>
    <xf numFmtId="179" fontId="18" fillId="12" borderId="20" xfId="0" applyFont="1" applyFill="1" applyBorder="1" applyAlignment="1">
      <alignment horizontal="right"/>
    </xf>
    <xf numFmtId="180" fontId="0" fillId="2" borderId="20" xfId="3" applyFont="1" applyFill="1" applyBorder="1">
      <alignment vertical="top"/>
    </xf>
    <xf numFmtId="179" fontId="0" fillId="12" borderId="20" xfId="0" applyFill="1" applyBorder="1">
      <alignment vertical="top"/>
    </xf>
    <xf numFmtId="180" fontId="0" fillId="8" borderId="23" xfId="3" applyFont="1" applyFill="1" applyBorder="1" applyAlignment="1">
      <alignment vertical="top"/>
    </xf>
    <xf numFmtId="187" fontId="0" fillId="8" borderId="23" xfId="0" applyNumberFormat="1" applyFill="1" applyBorder="1" applyAlignment="1">
      <alignment vertical="top"/>
    </xf>
    <xf numFmtId="179" fontId="0" fillId="8" borderId="23" xfId="0" applyFill="1" applyBorder="1" applyAlignment="1">
      <alignment vertical="top"/>
    </xf>
    <xf numFmtId="186" fontId="0" fillId="8" borderId="23" xfId="0" applyNumberFormat="1" applyFill="1" applyBorder="1" applyAlignment="1">
      <alignment vertical="top"/>
    </xf>
    <xf numFmtId="15" fontId="39" fillId="3" borderId="0" xfId="0" applyNumberFormat="1" applyFont="1" applyFill="1" applyAlignment="1">
      <alignment horizontal="center"/>
    </xf>
    <xf numFmtId="3" fontId="0" fillId="8" borderId="20" xfId="0" applyNumberFormat="1" applyFill="1" applyBorder="1" applyAlignment="1">
      <alignment horizontal="right"/>
    </xf>
    <xf numFmtId="164" fontId="23" fillId="10" borderId="0" xfId="1" applyFont="1" applyFill="1" applyBorder="1" applyAlignment="1">
      <alignment horizontal="right"/>
    </xf>
    <xf numFmtId="164" fontId="23" fillId="10" borderId="16" xfId="1" applyFont="1" applyFill="1" applyBorder="1" applyAlignment="1">
      <alignment horizontal="right"/>
    </xf>
    <xf numFmtId="166" fontId="23" fillId="8" borderId="0" xfId="3" applyNumberFormat="1" applyFont="1" applyFill="1" applyBorder="1" applyAlignment="1">
      <alignment horizontal="right"/>
    </xf>
    <xf numFmtId="166" fontId="23" fillId="8" borderId="16" xfId="3" applyNumberFormat="1" applyFont="1" applyFill="1" applyBorder="1" applyAlignment="1">
      <alignment horizontal="right"/>
    </xf>
    <xf numFmtId="173" fontId="0" fillId="7" borderId="0" xfId="1" applyNumberFormat="1" applyFont="1" applyFill="1" applyAlignment="1">
      <alignment horizontal="right"/>
    </xf>
    <xf numFmtId="170" fontId="0" fillId="7" borderId="0" xfId="0" applyNumberFormat="1" applyFill="1" applyBorder="1" applyAlignment="1">
      <alignment horizontal="right"/>
    </xf>
    <xf numFmtId="164" fontId="0" fillId="8" borderId="0" xfId="1" applyFont="1" applyFill="1" applyBorder="1" applyAlignment="1">
      <alignment vertical="top"/>
    </xf>
    <xf numFmtId="164" fontId="0" fillId="8" borderId="0" xfId="1" applyFont="1" applyFill="1" applyAlignment="1">
      <alignment vertical="top"/>
    </xf>
    <xf numFmtId="179" fontId="9" fillId="3" borderId="0" xfId="0" applyFont="1" applyFill="1" applyAlignment="1">
      <alignment horizontal="center"/>
    </xf>
    <xf numFmtId="179" fontId="0" fillId="9" borderId="0" xfId="0" applyFill="1" applyBorder="1">
      <alignment vertical="top"/>
    </xf>
    <xf numFmtId="179" fontId="21" fillId="9" borderId="0" xfId="0" applyFont="1" applyFill="1" applyBorder="1" applyAlignment="1">
      <alignment horizontal="right"/>
    </xf>
    <xf numFmtId="179" fontId="22" fillId="8" borderId="0" xfId="0" applyFont="1" applyFill="1" applyBorder="1">
      <alignment vertical="top"/>
    </xf>
    <xf numFmtId="179" fontId="23" fillId="10" borderId="0" xfId="0" applyFont="1" applyFill="1" applyBorder="1">
      <alignment vertical="top"/>
    </xf>
    <xf numFmtId="179" fontId="24" fillId="8" borderId="0" xfId="0" applyFont="1" applyFill="1" applyBorder="1">
      <alignment vertical="top"/>
    </xf>
    <xf numFmtId="180" fontId="23" fillId="10" borderId="0" xfId="3" applyFont="1" applyFill="1" applyBorder="1">
      <alignment vertical="top"/>
    </xf>
    <xf numFmtId="179" fontId="31" fillId="10" borderId="0" xfId="0" applyFont="1" applyFill="1" applyBorder="1">
      <alignment vertical="top"/>
    </xf>
    <xf numFmtId="179" fontId="23" fillId="0" borderId="0" xfId="0" applyFont="1" applyFill="1" applyBorder="1">
      <alignment vertical="top"/>
    </xf>
    <xf numFmtId="171" fontId="23" fillId="0" borderId="0" xfId="0" applyNumberFormat="1" applyFont="1" applyFill="1" applyBorder="1" applyAlignment="1">
      <alignment horizontal="right"/>
    </xf>
    <xf numFmtId="179" fontId="0" fillId="0" borderId="0" xfId="0" applyFill="1">
      <alignment vertical="top"/>
    </xf>
    <xf numFmtId="179" fontId="23" fillId="0" borderId="24" xfId="0" applyFont="1" applyFill="1" applyBorder="1">
      <alignment vertical="top"/>
    </xf>
    <xf numFmtId="171" fontId="23" fillId="0" borderId="16" xfId="0" applyNumberFormat="1" applyFont="1" applyFill="1" applyBorder="1" applyAlignment="1">
      <alignment horizontal="right"/>
    </xf>
    <xf numFmtId="171" fontId="23" fillId="0" borderId="24" xfId="0" applyNumberFormat="1" applyFont="1" applyFill="1" applyBorder="1" applyAlignment="1">
      <alignment horizontal="right"/>
    </xf>
    <xf numFmtId="166" fontId="23" fillId="0" borderId="0" xfId="0" applyNumberFormat="1" applyFont="1" applyFill="1" applyBorder="1" applyAlignment="1">
      <alignment horizontal="right"/>
    </xf>
    <xf numFmtId="170" fontId="1" fillId="7" borderId="0" xfId="0" applyNumberFormat="1" applyFont="1" applyFill="1" applyAlignment="1">
      <alignment horizontal="right"/>
    </xf>
    <xf numFmtId="170" fontId="1" fillId="7" borderId="1" xfId="0" applyNumberFormat="1" applyFont="1" applyFill="1" applyBorder="1" applyAlignment="1">
      <alignment horizontal="right"/>
    </xf>
    <xf numFmtId="180" fontId="7" fillId="2" borderId="0" xfId="3" applyFont="1" applyFill="1" applyBorder="1">
      <alignment vertical="top"/>
    </xf>
    <xf numFmtId="185" fontId="33" fillId="7" borderId="0" xfId="0" applyNumberFormat="1" applyFont="1" applyFill="1">
      <alignment vertical="top"/>
    </xf>
    <xf numFmtId="179" fontId="13" fillId="8" borderId="4" xfId="0" applyFont="1" applyFill="1" applyBorder="1" applyAlignment="1">
      <alignment horizontal="center" vertical="center" wrapText="1"/>
    </xf>
    <xf numFmtId="179" fontId="13" fillId="8" borderId="5" xfId="0" applyFont="1" applyFill="1" applyBorder="1" applyAlignment="1">
      <alignment horizontal="center" vertical="center"/>
    </xf>
    <xf numFmtId="179" fontId="13" fillId="8" borderId="6" xfId="0" applyFont="1" applyFill="1" applyBorder="1" applyAlignment="1">
      <alignment horizontal="center" vertical="center"/>
    </xf>
    <xf numFmtId="179" fontId="13" fillId="8" borderId="7" xfId="0" applyFont="1" applyFill="1" applyBorder="1" applyAlignment="1">
      <alignment horizontal="center" vertical="center"/>
    </xf>
    <xf numFmtId="179" fontId="13" fillId="8" borderId="0" xfId="0" applyFont="1" applyFill="1" applyBorder="1" applyAlignment="1">
      <alignment horizontal="center" vertical="center"/>
    </xf>
    <xf numFmtId="179" fontId="13" fillId="8" borderId="8" xfId="0" applyFont="1" applyFill="1" applyBorder="1" applyAlignment="1">
      <alignment horizontal="center" vertical="center"/>
    </xf>
    <xf numFmtId="179" fontId="13" fillId="8" borderId="9" xfId="0" applyFont="1" applyFill="1" applyBorder="1" applyAlignment="1">
      <alignment horizontal="center" vertical="center"/>
    </xf>
    <xf numFmtId="179" fontId="13" fillId="8" borderId="10" xfId="0" applyFont="1" applyFill="1" applyBorder="1" applyAlignment="1">
      <alignment horizontal="center" vertical="center"/>
    </xf>
    <xf numFmtId="179" fontId="13" fillId="8" borderId="11" xfId="0" applyFont="1" applyFill="1" applyBorder="1" applyAlignment="1">
      <alignment horizontal="center" vertical="center"/>
    </xf>
    <xf numFmtId="179" fontId="15" fillId="8" borderId="0" xfId="0" applyFont="1" applyFill="1" applyBorder="1" applyAlignment="1">
      <alignment horizontal="left" vertical="center"/>
    </xf>
    <xf numFmtId="179" fontId="9" fillId="3" borderId="0" xfId="0" applyFont="1" applyFill="1" applyAlignment="1">
      <alignment horizontal="center"/>
    </xf>
    <xf numFmtId="179" fontId="16" fillId="8" borderId="0" xfId="0" applyFont="1" applyFill="1" applyBorder="1" applyAlignment="1">
      <alignment horizontal="left" vertical="center"/>
    </xf>
    <xf numFmtId="179" fontId="17" fillId="8" borderId="0" xfId="0" applyFont="1" applyFill="1" applyBorder="1" applyAlignment="1">
      <alignment horizontal="left" vertical="center"/>
    </xf>
    <xf numFmtId="179" fontId="40" fillId="3" borderId="0" xfId="0" applyFont="1" applyFill="1" applyAlignment="1">
      <alignment horizontal="center"/>
    </xf>
  </cellXfs>
  <cellStyles count="26">
    <cellStyle name="blp_datetime" xfId="14" xr:uid="{00000000-0005-0000-0000-000000000000}"/>
    <cellStyle name="Comma" xfId="1" builtinId="3"/>
    <cellStyle name="Comma 2" xfId="5" xr:uid="{00000000-0005-0000-0000-000001000000}"/>
    <cellStyle name="Comma 2 2" xfId="20" xr:uid="{00000000-0005-0000-0000-000001000000}"/>
    <cellStyle name="Comma 3" xfId="13" xr:uid="{00000000-0005-0000-0000-000039000000}"/>
    <cellStyle name="DateLong" xfId="9" xr:uid="{00000000-0005-0000-0000-000002000000}"/>
    <cellStyle name="DateLong 2" xfId="23" xr:uid="{00000000-0005-0000-0000-000002000000}"/>
    <cellStyle name="DateShort" xfId="10" xr:uid="{00000000-0005-0000-0000-000003000000}"/>
    <cellStyle name="DateShort 2" xfId="24" xr:uid="{00000000-0005-0000-0000-000003000000}"/>
    <cellStyle name="fa_data_standard_0_grouped" xfId="7" xr:uid="{00000000-0005-0000-0000-000004000000}"/>
    <cellStyle name="Factor" xfId="8" xr:uid="{00000000-0005-0000-0000-000005000000}"/>
    <cellStyle name="Factor 2" xfId="22" xr:uid="{00000000-0005-0000-0000-000005000000}"/>
    <cellStyle name="Normal" xfId="0" builtinId="0" customBuiltin="1"/>
    <cellStyle name="Normal 2" xfId="2" xr:uid="{00000000-0005-0000-0000-000007000000}"/>
    <cellStyle name="Normal 2 2" xfId="17" xr:uid="{00000000-0005-0000-0000-000007000000}"/>
    <cellStyle name="Normal 3" xfId="12" xr:uid="{00000000-0005-0000-0000-00003A000000}"/>
    <cellStyle name="Normal 4" xfId="4" xr:uid="{00000000-0005-0000-0000-000008000000}"/>
    <cellStyle name="Normal 4 2" xfId="19" xr:uid="{00000000-0005-0000-0000-000008000000}"/>
    <cellStyle name="Normal 5" xfId="16" xr:uid="{00000000-0005-0000-0000-000038000000}"/>
    <cellStyle name="Percent" xfId="3" builtinId="5" customBuiltin="1"/>
    <cellStyle name="Percent 2" xfId="6" xr:uid="{00000000-0005-0000-0000-00000A000000}"/>
    <cellStyle name="Percent 2 2" xfId="21" xr:uid="{00000000-0005-0000-0000-00000A000000}"/>
    <cellStyle name="Percent 3" xfId="15" xr:uid="{00000000-0005-0000-0000-00003B000000}"/>
    <cellStyle name="Percent 4" xfId="18" xr:uid="{00000000-0005-0000-0000-00003C000000}"/>
    <cellStyle name="Year" xfId="11" xr:uid="{00000000-0005-0000-0000-00000B000000}"/>
    <cellStyle name="Year 2" xfId="25" xr:uid="{00000000-0005-0000-0000-00000B000000}"/>
  </cellStyles>
  <dxfs count="0"/>
  <tableStyles count="0" defaultTableStyle="TableStyleMedium2" defaultPivotStyle="PivotStyleLight16"/>
  <colors>
    <mruColors>
      <color rgb="FFFFFF99"/>
      <color rgb="FF4458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'Credit Paper Workings'!$B$88</c:f>
              <c:strCache>
                <c:ptCount val="1"/>
                <c:pt idx="0">
                  <c:v> ASM </c:v>
                </c:pt>
              </c:strCache>
            </c:strRef>
          </c:tx>
          <c:spPr>
            <a:solidFill>
              <a:schemeClr val="accent1"/>
            </a:solidFill>
            <a:ln>
              <a:noFill/>
            </a:ln>
            <a:effectLst/>
          </c:spPr>
          <c:invertIfNegative val="0"/>
          <c:cat>
            <c:numRef>
              <c:f>'Credit Paper Workings'!$C$87:$I$87</c:f>
              <c:numCache>
                <c:formatCode>#,##0_);\(#,##0\);"-  ";" "@" "</c:formatCode>
                <c:ptCount val="7"/>
                <c:pt idx="0">
                  <c:v>2010</c:v>
                </c:pt>
                <c:pt idx="1">
                  <c:v>2011</c:v>
                </c:pt>
                <c:pt idx="2">
                  <c:v>2012</c:v>
                </c:pt>
                <c:pt idx="3">
                  <c:v>2013</c:v>
                </c:pt>
                <c:pt idx="4">
                  <c:v>2014</c:v>
                </c:pt>
                <c:pt idx="5">
                  <c:v>2015</c:v>
                </c:pt>
                <c:pt idx="6">
                  <c:v>2016</c:v>
                </c:pt>
              </c:numCache>
            </c:numRef>
          </c:cat>
          <c:val>
            <c:numRef>
              <c:f>'Credit Paper Workings'!$C$88:$I$88</c:f>
              <c:numCache>
                <c:formatCode>#,##0</c:formatCode>
                <c:ptCount val="7"/>
                <c:pt idx="0">
                  <c:v>63496</c:v>
                </c:pt>
                <c:pt idx="1">
                  <c:v>66460</c:v>
                </c:pt>
                <c:pt idx="2">
                  <c:v>67269</c:v>
                </c:pt>
                <c:pt idx="3">
                  <c:v>68573</c:v>
                </c:pt>
                <c:pt idx="4">
                  <c:v>73889</c:v>
                </c:pt>
                <c:pt idx="5">
                  <c:v>80871</c:v>
                </c:pt>
                <c:pt idx="6">
                  <c:v>92726</c:v>
                </c:pt>
              </c:numCache>
            </c:numRef>
          </c:val>
          <c:extLst>
            <c:ext xmlns:c16="http://schemas.microsoft.com/office/drawing/2014/chart" uri="{C3380CC4-5D6E-409C-BE32-E72D297353CC}">
              <c16:uniqueId val="{00000000-C8DB-40E6-A638-2B99C16C3683}"/>
            </c:ext>
          </c:extLst>
        </c:ser>
        <c:ser>
          <c:idx val="1"/>
          <c:order val="1"/>
          <c:tx>
            <c:strRef>
              <c:f>'Credit Paper Workings'!$B$89</c:f>
              <c:strCache>
                <c:ptCount val="1"/>
                <c:pt idx="0">
                  <c:v> RPM </c:v>
                </c:pt>
              </c:strCache>
            </c:strRef>
          </c:tx>
          <c:spPr>
            <a:solidFill>
              <a:schemeClr val="accent2"/>
            </a:solidFill>
            <a:ln>
              <a:noFill/>
            </a:ln>
            <a:effectLst/>
          </c:spPr>
          <c:invertIfNegative val="0"/>
          <c:cat>
            <c:numRef>
              <c:f>'Credit Paper Workings'!$C$87:$I$87</c:f>
              <c:numCache>
                <c:formatCode>#,##0_);\(#,##0\);"-  ";" "@" "</c:formatCode>
                <c:ptCount val="7"/>
                <c:pt idx="0">
                  <c:v>2010</c:v>
                </c:pt>
                <c:pt idx="1">
                  <c:v>2011</c:v>
                </c:pt>
                <c:pt idx="2">
                  <c:v>2012</c:v>
                </c:pt>
                <c:pt idx="3">
                  <c:v>2013</c:v>
                </c:pt>
                <c:pt idx="4">
                  <c:v>2014</c:v>
                </c:pt>
                <c:pt idx="5">
                  <c:v>2015</c:v>
                </c:pt>
                <c:pt idx="6">
                  <c:v>2016</c:v>
                </c:pt>
              </c:numCache>
            </c:numRef>
          </c:cat>
          <c:val>
            <c:numRef>
              <c:f>'Credit Paper Workings'!$C$89:$I$89</c:f>
              <c:numCache>
                <c:formatCode>#,##0</c:formatCode>
                <c:ptCount val="7"/>
                <c:pt idx="0">
                  <c:v>51875</c:v>
                </c:pt>
                <c:pt idx="1">
                  <c:v>54223</c:v>
                </c:pt>
                <c:pt idx="2">
                  <c:v>55646</c:v>
                </c:pt>
                <c:pt idx="3">
                  <c:v>56791</c:v>
                </c:pt>
                <c:pt idx="4">
                  <c:v>61616</c:v>
                </c:pt>
                <c:pt idx="5">
                  <c:v>67545</c:v>
                </c:pt>
                <c:pt idx="6">
                  <c:v>76481</c:v>
                </c:pt>
              </c:numCache>
            </c:numRef>
          </c:val>
          <c:extLst>
            <c:ext xmlns:c16="http://schemas.microsoft.com/office/drawing/2014/chart" uri="{C3380CC4-5D6E-409C-BE32-E72D297353CC}">
              <c16:uniqueId val="{00000001-C8DB-40E6-A638-2B99C16C3683}"/>
            </c:ext>
          </c:extLst>
        </c:ser>
        <c:dLbls>
          <c:showLegendKey val="0"/>
          <c:showVal val="0"/>
          <c:showCatName val="0"/>
          <c:showSerName val="0"/>
          <c:showPercent val="0"/>
          <c:showBubbleSize val="0"/>
        </c:dLbls>
        <c:gapWidth val="219"/>
        <c:overlap val="-27"/>
        <c:axId val="330556736"/>
        <c:axId val="330555752"/>
      </c:barChart>
      <c:lineChart>
        <c:grouping val="standard"/>
        <c:varyColors val="0"/>
        <c:ser>
          <c:idx val="2"/>
          <c:order val="2"/>
          <c:tx>
            <c:strRef>
              <c:f>'Credit Paper Workings'!$B$90</c:f>
              <c:strCache>
                <c:ptCount val="1"/>
                <c:pt idx="0">
                  <c:v> Load Factor </c:v>
                </c:pt>
              </c:strCache>
            </c:strRef>
          </c:tx>
          <c:spPr>
            <a:ln w="28575" cap="rnd">
              <a:solidFill>
                <a:schemeClr val="accent3"/>
              </a:solidFill>
              <a:round/>
            </a:ln>
            <a:effectLst/>
          </c:spPr>
          <c:marker>
            <c:symbol val="none"/>
          </c:marker>
          <c:dLbls>
            <c:dLbl>
              <c:idx val="0"/>
              <c:layout>
                <c:manualLayout>
                  <c:x val="-2.858601327207759E-2"/>
                  <c:y val="-0.102564102564102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DB-40E6-A638-2B99C16C3683}"/>
                </c:ext>
              </c:extLst>
            </c:dLbl>
            <c:dLbl>
              <c:idx val="2"/>
              <c:layout>
                <c:manualLayout>
                  <c:x val="-2.4502297090352222E-2"/>
                  <c:y val="-0.1305361305361305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DB-40E6-A638-2B99C16C3683}"/>
                </c:ext>
              </c:extLst>
            </c:dLbl>
            <c:dLbl>
              <c:idx val="3"/>
              <c:layout>
                <c:manualLayout>
                  <c:x val="-1.0209290454313425E-2"/>
                  <c:y val="-6.06060606060606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DB-40E6-A638-2B99C16C3683}"/>
                </c:ext>
              </c:extLst>
            </c:dLbl>
            <c:dLbl>
              <c:idx val="4"/>
              <c:layout>
                <c:manualLayout>
                  <c:x val="0"/>
                  <c:y val="7.45920745920745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DB-40E6-A638-2B99C16C3683}"/>
                </c:ext>
              </c:extLst>
            </c:dLbl>
            <c:dLbl>
              <c:idx val="5"/>
              <c:layout>
                <c:manualLayout>
                  <c:x val="-2.858601327207759E-2"/>
                  <c:y val="-0.1538461538461538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DB-40E6-A638-2B99C16C3683}"/>
                </c:ext>
              </c:extLst>
            </c:dLbl>
            <c:dLbl>
              <c:idx val="6"/>
              <c:layout>
                <c:manualLayout>
                  <c:x val="-3.2669729453803108E-2"/>
                  <c:y val="-6.52680652680652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DB-40E6-A638-2B99C16C368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'Credit Paper Workings'!$C$87:$I$87</c:f>
              <c:numCache>
                <c:formatCode>#,##0_);\(#,##0\);"-  ";" "@" "</c:formatCode>
                <c:ptCount val="7"/>
                <c:pt idx="0">
                  <c:v>2010</c:v>
                </c:pt>
                <c:pt idx="1">
                  <c:v>2011</c:v>
                </c:pt>
                <c:pt idx="2">
                  <c:v>2012</c:v>
                </c:pt>
                <c:pt idx="3">
                  <c:v>2013</c:v>
                </c:pt>
                <c:pt idx="4">
                  <c:v>2014</c:v>
                </c:pt>
                <c:pt idx="5">
                  <c:v>2015</c:v>
                </c:pt>
                <c:pt idx="6">
                  <c:v>2016</c:v>
                </c:pt>
              </c:numCache>
            </c:numRef>
          </c:cat>
          <c:val>
            <c:numRef>
              <c:f>'Credit Paper Workings'!$C$90:$I$90</c:f>
              <c:numCache>
                <c:formatCode>0.0%</c:formatCode>
                <c:ptCount val="7"/>
                <c:pt idx="0">
                  <c:v>0.81698059720297345</c:v>
                </c:pt>
                <c:pt idx="1">
                  <c:v>0.81587421005115857</c:v>
                </c:pt>
                <c:pt idx="2">
                  <c:v>0.82721610251378797</c:v>
                </c:pt>
                <c:pt idx="3">
                  <c:v>0.82818310413719687</c:v>
                </c:pt>
                <c:pt idx="4">
                  <c:v>0.83389949789549189</c:v>
                </c:pt>
                <c:pt idx="5">
                  <c:v>0.83521905256519646</c:v>
                </c:pt>
                <c:pt idx="6">
                  <c:v>0.82480641891163209</c:v>
                </c:pt>
              </c:numCache>
            </c:numRef>
          </c:val>
          <c:smooth val="0"/>
          <c:extLst>
            <c:ext xmlns:c16="http://schemas.microsoft.com/office/drawing/2014/chart" uri="{C3380CC4-5D6E-409C-BE32-E72D297353CC}">
              <c16:uniqueId val="{00000002-C8DB-40E6-A638-2B99C16C3683}"/>
            </c:ext>
          </c:extLst>
        </c:ser>
        <c:dLbls>
          <c:showLegendKey val="0"/>
          <c:showVal val="0"/>
          <c:showCatName val="0"/>
          <c:showSerName val="0"/>
          <c:showPercent val="0"/>
          <c:showBubbleSize val="0"/>
        </c:dLbls>
        <c:marker val="1"/>
        <c:smooth val="0"/>
        <c:axId val="781321520"/>
        <c:axId val="781319552"/>
      </c:lineChart>
      <c:catAx>
        <c:axId val="330556736"/>
        <c:scaling>
          <c:orientation val="minMax"/>
        </c:scaling>
        <c:delete val="0"/>
        <c:axPos val="b"/>
        <c:numFmt formatCode="#,##0_);\(#,##0\);&quot;-  &quot;;&quot; &quot;@&quot; &quot;"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30555752"/>
        <c:crosses val="autoZero"/>
        <c:auto val="1"/>
        <c:lblAlgn val="ctr"/>
        <c:lblOffset val="100"/>
        <c:noMultiLvlLbl val="0"/>
      </c:catAx>
      <c:valAx>
        <c:axId val="330555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Seat Mile</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30556736"/>
        <c:crosses val="autoZero"/>
        <c:crossBetween val="between"/>
      </c:valAx>
      <c:valAx>
        <c:axId val="781319552"/>
        <c:scaling>
          <c:orientation val="minMax"/>
          <c:min val="0.70000000000000007"/>
        </c:scaling>
        <c:delete val="0"/>
        <c:axPos val="r"/>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LF %</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81321520"/>
        <c:crosses val="max"/>
        <c:crossBetween val="between"/>
      </c:valAx>
      <c:catAx>
        <c:axId val="781321520"/>
        <c:scaling>
          <c:orientation val="minMax"/>
        </c:scaling>
        <c:delete val="1"/>
        <c:axPos val="b"/>
        <c:numFmt formatCode="#,##0_);\(#,##0\);&quot;-  &quot;;&quot; &quot;@&quot; &quot;" sourceLinked="1"/>
        <c:majorTickMark val="out"/>
        <c:minorTickMark val="none"/>
        <c:tickLblPos val="nextTo"/>
        <c:crossAx val="78131955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'Credit Paper Workings'!$B$183</c:f>
              <c:strCache>
                <c:ptCount val="1"/>
                <c:pt idx="0">
                  <c:v> Load Factor </c:v>
                </c:pt>
              </c:strCache>
            </c:strRef>
          </c:tx>
          <c:spPr>
            <a:ln w="28575" cap="rnd">
              <a:solidFill>
                <a:schemeClr val="accent1"/>
              </a:solidFill>
              <a:round/>
            </a:ln>
            <a:effectLst/>
          </c:spPr>
          <c:marker>
            <c:symbol val="none"/>
          </c:marker>
          <c:cat>
            <c:numRef>
              <c:f>'Credit Paper Workings'!$C$182:$I$182</c:f>
              <c:numCache>
                <c:formatCode>#,##0_);\(#,##0\);"-  ";" "@" "</c:formatCode>
                <c:ptCount val="7"/>
                <c:pt idx="0">
                  <c:v>2010</c:v>
                </c:pt>
                <c:pt idx="1">
                  <c:v>2011</c:v>
                </c:pt>
                <c:pt idx="2">
                  <c:v>2012</c:v>
                </c:pt>
                <c:pt idx="3">
                  <c:v>2013</c:v>
                </c:pt>
                <c:pt idx="4">
                  <c:v>2014</c:v>
                </c:pt>
                <c:pt idx="5">
                  <c:v>2015</c:v>
                </c:pt>
                <c:pt idx="6">
                  <c:v>2016</c:v>
                </c:pt>
              </c:numCache>
            </c:numRef>
          </c:cat>
          <c:val>
            <c:numRef>
              <c:f>'Credit Paper Workings'!$C$183:$I$183</c:f>
              <c:numCache>
                <c:formatCode>0.0%</c:formatCode>
                <c:ptCount val="7"/>
                <c:pt idx="0">
                  <c:v>0.81698059720297345</c:v>
                </c:pt>
                <c:pt idx="1">
                  <c:v>0.81587421005115857</c:v>
                </c:pt>
                <c:pt idx="2">
                  <c:v>0.82721610251378797</c:v>
                </c:pt>
                <c:pt idx="3">
                  <c:v>0.82818310413719687</c:v>
                </c:pt>
                <c:pt idx="4">
                  <c:v>0.83389949789549189</c:v>
                </c:pt>
                <c:pt idx="5">
                  <c:v>0.83521905256519646</c:v>
                </c:pt>
                <c:pt idx="6">
                  <c:v>0.82480641891163209</c:v>
                </c:pt>
              </c:numCache>
            </c:numRef>
          </c:val>
          <c:smooth val="0"/>
          <c:extLst>
            <c:ext xmlns:c16="http://schemas.microsoft.com/office/drawing/2014/chart" uri="{C3380CC4-5D6E-409C-BE32-E72D297353CC}">
              <c16:uniqueId val="{00000000-FEF7-4DF8-9610-47A0102281D5}"/>
            </c:ext>
          </c:extLst>
        </c:ser>
        <c:ser>
          <c:idx val="1"/>
          <c:order val="1"/>
          <c:tx>
            <c:strRef>
              <c:f>'Credit Paper Workings'!$B$184</c:f>
              <c:strCache>
                <c:ptCount val="1"/>
                <c:pt idx="0">
                  <c:v> BELF </c:v>
                </c:pt>
              </c:strCache>
            </c:strRef>
          </c:tx>
          <c:spPr>
            <a:ln w="28575" cap="rnd">
              <a:solidFill>
                <a:schemeClr val="accent2"/>
              </a:solidFill>
              <a:round/>
            </a:ln>
            <a:effectLst/>
          </c:spPr>
          <c:marker>
            <c:symbol val="none"/>
          </c:marker>
          <c:cat>
            <c:numRef>
              <c:f>'Credit Paper Workings'!$C$182:$I$182</c:f>
              <c:numCache>
                <c:formatCode>#,##0_);\(#,##0\);"-  ";" "@" "</c:formatCode>
                <c:ptCount val="7"/>
                <c:pt idx="0">
                  <c:v>2010</c:v>
                </c:pt>
                <c:pt idx="1">
                  <c:v>2011</c:v>
                </c:pt>
                <c:pt idx="2">
                  <c:v>2012</c:v>
                </c:pt>
                <c:pt idx="3">
                  <c:v>2013</c:v>
                </c:pt>
                <c:pt idx="4">
                  <c:v>2014</c:v>
                </c:pt>
                <c:pt idx="5">
                  <c:v>2015</c:v>
                </c:pt>
                <c:pt idx="6">
                  <c:v>2016</c:v>
                </c:pt>
              </c:numCache>
            </c:numRef>
          </c:cat>
          <c:val>
            <c:numRef>
              <c:f>'Credit Paper Workings'!$C$184:$I$184</c:f>
              <c:numCache>
                <c:formatCode>0.0%</c:formatCode>
                <c:ptCount val="7"/>
                <c:pt idx="0">
                  <c:v>0.78963681863906898</c:v>
                </c:pt>
                <c:pt idx="1">
                  <c:v>0.80329743743669435</c:v>
                </c:pt>
                <c:pt idx="2">
                  <c:v>0.797389911358794</c:v>
                </c:pt>
                <c:pt idx="3">
                  <c:v>0.78678063753560379</c:v>
                </c:pt>
                <c:pt idx="4">
                  <c:v>0.78269183584118029</c:v>
                </c:pt>
                <c:pt idx="5">
                  <c:v>0.74463861882867688</c:v>
                </c:pt>
                <c:pt idx="6">
                  <c:v>0.74410722850779598</c:v>
                </c:pt>
              </c:numCache>
            </c:numRef>
          </c:val>
          <c:smooth val="0"/>
          <c:extLst>
            <c:ext xmlns:c16="http://schemas.microsoft.com/office/drawing/2014/chart" uri="{C3380CC4-5D6E-409C-BE32-E72D297353CC}">
              <c16:uniqueId val="{00000001-FEF7-4DF8-9610-47A0102281D5}"/>
            </c:ext>
          </c:extLst>
        </c:ser>
        <c:dLbls>
          <c:showLegendKey val="0"/>
          <c:showVal val="0"/>
          <c:showCatName val="0"/>
          <c:showSerName val="0"/>
          <c:showPercent val="0"/>
          <c:showBubbleSize val="0"/>
        </c:dLbls>
        <c:smooth val="0"/>
        <c:axId val="407578696"/>
        <c:axId val="407573776"/>
      </c:lineChart>
      <c:catAx>
        <c:axId val="407578696"/>
        <c:scaling>
          <c:orientation val="minMax"/>
        </c:scaling>
        <c:delete val="0"/>
        <c:axPos val="b"/>
        <c:numFmt formatCode="#,##0_);\(#,##0\);&quot;-  &quot;;&quot; &quot;@&quot; &quot;"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07573776"/>
        <c:crosses val="autoZero"/>
        <c:auto val="1"/>
        <c:lblAlgn val="ctr"/>
        <c:lblOffset val="100"/>
        <c:noMultiLvlLbl val="0"/>
      </c:catAx>
      <c:valAx>
        <c:axId val="4075737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07578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'Credit Paper Workings'!$B$109</c:f>
              <c:strCache>
                <c:ptCount val="1"/>
                <c:pt idx="0">
                  <c:v> Passenger numbers </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'Credit Paper Workings'!$D$108:$I$108</c:f>
              <c:numCache>
                <c:formatCode>#,##0_);\(#,##0\);"-  ";" "@" "</c:formatCode>
                <c:ptCount val="6"/>
                <c:pt idx="0">
                  <c:v>2011</c:v>
                </c:pt>
                <c:pt idx="1">
                  <c:v>2012</c:v>
                </c:pt>
                <c:pt idx="2">
                  <c:v>2013</c:v>
                </c:pt>
                <c:pt idx="3">
                  <c:v>2014</c:v>
                </c:pt>
                <c:pt idx="4">
                  <c:v>2015</c:v>
                </c:pt>
                <c:pt idx="5">
                  <c:v>2016</c:v>
                </c:pt>
              </c:numCache>
            </c:numRef>
          </c:cat>
          <c:val>
            <c:numRef>
              <c:f>'Credit Paper Workings'!$D$109:$I$109</c:f>
              <c:numCache>
                <c:formatCode>#,##0</c:formatCode>
                <c:ptCount val="6"/>
                <c:pt idx="0">
                  <c:v>33900</c:v>
                </c:pt>
                <c:pt idx="1">
                  <c:v>34900</c:v>
                </c:pt>
                <c:pt idx="2">
                  <c:v>35761</c:v>
                </c:pt>
                <c:pt idx="3">
                  <c:v>38526</c:v>
                </c:pt>
                <c:pt idx="4">
                  <c:v>41126</c:v>
                </c:pt>
                <c:pt idx="5">
                  <c:v>44849</c:v>
                </c:pt>
              </c:numCache>
            </c:numRef>
          </c:val>
          <c:extLst>
            <c:ext xmlns:c16="http://schemas.microsoft.com/office/drawing/2014/chart" uri="{C3380CC4-5D6E-409C-BE32-E72D297353CC}">
              <c16:uniqueId val="{00000000-8088-4F7D-956B-B3583DA7B7AD}"/>
            </c:ext>
          </c:extLst>
        </c:ser>
        <c:dLbls>
          <c:showLegendKey val="0"/>
          <c:showVal val="0"/>
          <c:showCatName val="0"/>
          <c:showSerName val="0"/>
          <c:showPercent val="0"/>
          <c:showBubbleSize val="0"/>
        </c:dLbls>
        <c:gapWidth val="219"/>
        <c:overlap val="-27"/>
        <c:axId val="787233288"/>
        <c:axId val="787230336"/>
      </c:barChart>
      <c:lineChart>
        <c:grouping val="standard"/>
        <c:varyColors val="0"/>
        <c:ser>
          <c:idx val="1"/>
          <c:order val="1"/>
          <c:tx>
            <c:strRef>
              <c:f>'Credit Paper Workings'!$B$110</c:f>
              <c:strCache>
                <c:ptCount val="1"/>
                <c:pt idx="0">
                  <c:v> year-over-year growth </c:v>
                </c:pt>
              </c:strCache>
            </c:strRef>
          </c:tx>
          <c:spPr>
            <a:ln w="28575" cap="rnd">
              <a:solidFill>
                <a:schemeClr val="accent2"/>
              </a:solidFill>
              <a:round/>
            </a:ln>
            <a:effectLst/>
          </c:spPr>
          <c:marker>
            <c:symbol val="none"/>
          </c:marker>
          <c:dLbls>
            <c:dLbl>
              <c:idx val="1"/>
              <c:layout>
                <c:manualLayout>
                  <c:x val="-4.040615768133414E-2"/>
                  <c:y val="-6.32768361581920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227-4665-871E-9AF391B98085}"/>
                </c:ext>
              </c:extLst>
            </c:dLbl>
            <c:dLbl>
              <c:idx val="3"/>
              <c:layout>
                <c:manualLayout>
                  <c:x val="1.1111111111111112E-2"/>
                  <c:y val="-9.25925925925925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088-4F7D-956B-B3583DA7B7AD}"/>
                </c:ext>
              </c:extLst>
            </c:dLbl>
            <c:dLbl>
              <c:idx val="4"/>
              <c:layout>
                <c:manualLayout>
                  <c:x val="0"/>
                  <c:y val="8.79629629629630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088-4F7D-956B-B3583DA7B7AD}"/>
                </c:ext>
              </c:extLst>
            </c:dLbl>
            <c:dLbl>
              <c:idx val="5"/>
              <c:layout>
                <c:manualLayout>
                  <c:x val="5.5555555555556572E-3"/>
                  <c:y val="-9.72222222222222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088-4F7D-956B-B3583DA7B7AD}"/>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'Credit Paper Workings'!$D$108:$I$108</c:f>
              <c:numCache>
                <c:formatCode>#,##0_);\(#,##0\);"-  ";" "@" "</c:formatCode>
                <c:ptCount val="6"/>
                <c:pt idx="0">
                  <c:v>2011</c:v>
                </c:pt>
                <c:pt idx="1">
                  <c:v>2012</c:v>
                </c:pt>
                <c:pt idx="2">
                  <c:v>2013</c:v>
                </c:pt>
                <c:pt idx="3">
                  <c:v>2014</c:v>
                </c:pt>
                <c:pt idx="4">
                  <c:v>2015</c:v>
                </c:pt>
                <c:pt idx="5">
                  <c:v>2016</c:v>
                </c:pt>
              </c:numCache>
            </c:numRef>
          </c:cat>
          <c:val>
            <c:numRef>
              <c:f>'Credit Paper Workings'!$D$110:$I$110</c:f>
              <c:numCache>
                <c:formatCode>0.0%</c:formatCode>
                <c:ptCount val="6"/>
                <c:pt idx="1">
                  <c:v>2.9498525073746285E-2</c:v>
                </c:pt>
                <c:pt idx="2">
                  <c:v>2.4670487106017269E-2</c:v>
                </c:pt>
                <c:pt idx="3">
                  <c:v>7.731886692206591E-2</c:v>
                </c:pt>
                <c:pt idx="4">
                  <c:v>6.7486891969059881E-2</c:v>
                </c:pt>
                <c:pt idx="5">
                  <c:v>9.0526674123425632E-2</c:v>
                </c:pt>
              </c:numCache>
            </c:numRef>
          </c:val>
          <c:smooth val="0"/>
          <c:extLst>
            <c:ext xmlns:c16="http://schemas.microsoft.com/office/drawing/2014/chart" uri="{C3380CC4-5D6E-409C-BE32-E72D297353CC}">
              <c16:uniqueId val="{00000001-8088-4F7D-956B-B3583DA7B7AD}"/>
            </c:ext>
          </c:extLst>
        </c:ser>
        <c:dLbls>
          <c:showLegendKey val="0"/>
          <c:showVal val="0"/>
          <c:showCatName val="0"/>
          <c:showSerName val="0"/>
          <c:showPercent val="0"/>
          <c:showBubbleSize val="0"/>
        </c:dLbls>
        <c:marker val="1"/>
        <c:smooth val="0"/>
        <c:axId val="787229680"/>
        <c:axId val="787225744"/>
      </c:lineChart>
      <c:catAx>
        <c:axId val="787233288"/>
        <c:scaling>
          <c:orientation val="minMax"/>
        </c:scaling>
        <c:delete val="0"/>
        <c:axPos val="b"/>
        <c:numFmt formatCode="#,##0_);\(#,##0\);&quot;-  &quot;;&quot; &quot;@&quot; &quot;"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87230336"/>
        <c:crosses val="autoZero"/>
        <c:auto val="1"/>
        <c:lblAlgn val="ctr"/>
        <c:lblOffset val="100"/>
        <c:noMultiLvlLbl val="0"/>
      </c:catAx>
      <c:valAx>
        <c:axId val="787230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PAX #'000</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87233288"/>
        <c:crosses val="autoZero"/>
        <c:crossBetween val="between"/>
      </c:valAx>
      <c:valAx>
        <c:axId val="787225744"/>
        <c:scaling>
          <c:orientation val="minMax"/>
        </c:scaling>
        <c:delete val="0"/>
        <c:axPos val="r"/>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 y-o-y growth</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87229680"/>
        <c:crosses val="max"/>
        <c:crossBetween val="between"/>
      </c:valAx>
      <c:catAx>
        <c:axId val="787229680"/>
        <c:scaling>
          <c:orientation val="minMax"/>
        </c:scaling>
        <c:delete val="1"/>
        <c:axPos val="b"/>
        <c:numFmt formatCode="#,##0_);\(#,##0\);&quot;-  &quot;;&quot; &quot;@&quot; &quot;" sourceLinked="1"/>
        <c:majorTickMark val="out"/>
        <c:minorTickMark val="none"/>
        <c:tickLblPos val="nextTo"/>
        <c:crossAx val="78722574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'Credit Paper Workings'!$B$131</c:f>
              <c:strCache>
                <c:ptCount val="1"/>
                <c:pt idx="0">
                  <c:v> Fare per Pax - CAD (RHS) </c:v>
                </c:pt>
              </c:strCache>
            </c:strRef>
          </c:tx>
          <c:spPr>
            <a:solidFill>
              <a:schemeClr val="accent3"/>
            </a:solidFill>
            <a:ln>
              <a:noFill/>
            </a:ln>
            <a:effectLst/>
          </c:spPr>
          <c:invertIfNegative val="0"/>
          <c:cat>
            <c:numRef>
              <c:f>'Credit Paper Workings'!$C$128:$I$128</c:f>
              <c:numCache>
                <c:formatCode>#,##0_);\(#,##0\);"-  ";" "@" "</c:formatCode>
                <c:ptCount val="7"/>
                <c:pt idx="0">
                  <c:v>2010</c:v>
                </c:pt>
                <c:pt idx="1">
                  <c:v>2011</c:v>
                </c:pt>
                <c:pt idx="2">
                  <c:v>2012</c:v>
                </c:pt>
                <c:pt idx="3">
                  <c:v>2013</c:v>
                </c:pt>
                <c:pt idx="4">
                  <c:v>2014</c:v>
                </c:pt>
                <c:pt idx="5">
                  <c:v>2015</c:v>
                </c:pt>
                <c:pt idx="6">
                  <c:v>2016</c:v>
                </c:pt>
              </c:numCache>
            </c:numRef>
          </c:cat>
          <c:val>
            <c:numRef>
              <c:f>'Credit Paper Workings'!$C$131:$I$131</c:f>
              <c:numCache>
                <c:formatCode>_(* #,##0_);_(* \(#,##0\);_(* "-"??_);_(@_)</c:formatCode>
                <c:ptCount val="7"/>
                <c:pt idx="1">
                  <c:v>301.12094395280235</c:v>
                </c:pt>
                <c:pt idx="2">
                  <c:v>307.65042979942695</c:v>
                </c:pt>
                <c:pt idx="3">
                  <c:v>308.18489415844078</c:v>
                </c:pt>
                <c:pt idx="4">
                  <c:v>306.39048953953176</c:v>
                </c:pt>
                <c:pt idx="5">
                  <c:v>301.99873559305547</c:v>
                </c:pt>
                <c:pt idx="6">
                  <c:v>293.16149746928585</c:v>
                </c:pt>
              </c:numCache>
            </c:numRef>
          </c:val>
          <c:extLst>
            <c:ext xmlns:c16="http://schemas.microsoft.com/office/drawing/2014/chart" uri="{C3380CC4-5D6E-409C-BE32-E72D297353CC}">
              <c16:uniqueId val="{00000002-EB0A-49A2-98EB-E39DA63B62D7}"/>
            </c:ext>
          </c:extLst>
        </c:ser>
        <c:dLbls>
          <c:showLegendKey val="0"/>
          <c:showVal val="0"/>
          <c:showCatName val="0"/>
          <c:showSerName val="0"/>
          <c:showPercent val="0"/>
          <c:showBubbleSize val="0"/>
        </c:dLbls>
        <c:gapWidth val="150"/>
        <c:axId val="389322544"/>
        <c:axId val="389316640"/>
      </c:barChart>
      <c:lineChart>
        <c:grouping val="standard"/>
        <c:varyColors val="0"/>
        <c:ser>
          <c:idx val="0"/>
          <c:order val="0"/>
          <c:tx>
            <c:strRef>
              <c:f>'Credit Paper Workings'!$B$129</c:f>
              <c:strCache>
                <c:ptCount val="1"/>
                <c:pt idx="0">
                  <c:v> RASM (CADc) </c:v>
                </c:pt>
              </c:strCache>
            </c:strRef>
          </c:tx>
          <c:spPr>
            <a:ln w="28575" cap="rnd">
              <a:solidFill>
                <a:schemeClr val="accent1"/>
              </a:solidFill>
              <a:round/>
            </a:ln>
            <a:effectLst/>
          </c:spPr>
          <c:marker>
            <c:symbol val="none"/>
          </c:marker>
          <c:dLbls>
            <c:dLbl>
              <c:idx val="0"/>
              <c:layout>
                <c:manualLayout>
                  <c:x val="-3.8418078640294478E-2"/>
                  <c:y val="9.75609756097561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201-4795-AB38-A268A8D4C175}"/>
                </c:ext>
              </c:extLst>
            </c:dLbl>
            <c:dLbl>
              <c:idx val="1"/>
              <c:layout>
                <c:manualLayout>
                  <c:x val="-2.8173257669549312E-2"/>
                  <c:y val="0.102206736353077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201-4795-AB38-A268A8D4C175}"/>
                </c:ext>
              </c:extLst>
            </c:dLbl>
            <c:dLbl>
              <c:idx val="2"/>
              <c:layout>
                <c:manualLayout>
                  <c:x val="-1.792843669880408E-2"/>
                  <c:y val="0.1254355400696864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201-4795-AB38-A268A8D4C175}"/>
                </c:ext>
              </c:extLst>
            </c:dLbl>
            <c:dLbl>
              <c:idx val="3"/>
              <c:layout>
                <c:manualLayout>
                  <c:x val="-1.2806026213431578E-2"/>
                  <c:y val="0.1022067363530777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201-4795-AB38-A268A8D4C175}"/>
                </c:ext>
              </c:extLst>
            </c:dLbl>
            <c:dLbl>
              <c:idx val="4"/>
              <c:layout>
                <c:manualLayout>
                  <c:x val="-2.0489641941490375E-2"/>
                  <c:y val="0.1300813008130081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201-4795-AB38-A268A8D4C175}"/>
                </c:ext>
              </c:extLst>
            </c:dLbl>
            <c:dLbl>
              <c:idx val="5"/>
              <c:layout>
                <c:manualLayout>
                  <c:x val="-7.6836157280588905E-3"/>
                  <c:y val="0.1022067363530777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201-4795-AB38-A268A8D4C175}"/>
                </c:ext>
              </c:extLst>
            </c:dLbl>
            <c:dLbl>
              <c:idx val="6"/>
              <c:layout>
                <c:manualLayout>
                  <c:x val="0"/>
                  <c:y val="6.96864111498256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201-4795-AB38-A268A8D4C17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'Credit Paper Workings'!$C$128:$I$128</c:f>
              <c:numCache>
                <c:formatCode>#,##0_);\(#,##0\);"-  ";" "@" "</c:formatCode>
                <c:ptCount val="7"/>
                <c:pt idx="0">
                  <c:v>2010</c:v>
                </c:pt>
                <c:pt idx="1">
                  <c:v>2011</c:v>
                </c:pt>
                <c:pt idx="2">
                  <c:v>2012</c:v>
                </c:pt>
                <c:pt idx="3">
                  <c:v>2013</c:v>
                </c:pt>
                <c:pt idx="4">
                  <c:v>2014</c:v>
                </c:pt>
                <c:pt idx="5">
                  <c:v>2015</c:v>
                </c:pt>
                <c:pt idx="6">
                  <c:v>2016</c:v>
                </c:pt>
              </c:numCache>
            </c:numRef>
          </c:cat>
          <c:val>
            <c:numRef>
              <c:f>'Credit Paper Workings'!$C$129:$I$129</c:f>
              <c:numCache>
                <c:formatCode>_(* #,##0.00_);_(* \(#,##0.00\);_(* "-"??_);_(@_)</c:formatCode>
                <c:ptCount val="7"/>
                <c:pt idx="0">
                  <c:v>16.48909115056216</c:v>
                </c:pt>
                <c:pt idx="1">
                  <c:v>17.669532384225025</c:v>
                </c:pt>
                <c:pt idx="2">
                  <c:v>18.023703000368187</c:v>
                </c:pt>
                <c:pt idx="3">
                  <c:v>17.534151810697704</c:v>
                </c:pt>
                <c:pt idx="4">
                  <c:v>17.259612042388685</c:v>
                </c:pt>
                <c:pt idx="5">
                  <c:v>13.421959336069534</c:v>
                </c:pt>
                <c:pt idx="6">
                  <c:v>11.943764530822012</c:v>
                </c:pt>
              </c:numCache>
            </c:numRef>
          </c:val>
          <c:smooth val="0"/>
          <c:extLst>
            <c:ext xmlns:c16="http://schemas.microsoft.com/office/drawing/2014/chart" uri="{C3380CC4-5D6E-409C-BE32-E72D297353CC}">
              <c16:uniqueId val="{00000000-EB0A-49A2-98EB-E39DA63B62D7}"/>
            </c:ext>
          </c:extLst>
        </c:ser>
        <c:ser>
          <c:idx val="1"/>
          <c:order val="1"/>
          <c:tx>
            <c:strRef>
              <c:f>'Credit Paper Workings'!$B$130</c:f>
              <c:strCache>
                <c:ptCount val="1"/>
                <c:pt idx="0">
                  <c:v> Yield (CADc) </c:v>
                </c:pt>
              </c:strCache>
            </c:strRef>
          </c:tx>
          <c:spPr>
            <a:ln w="28575" cap="rnd">
              <a:solidFill>
                <a:schemeClr val="accent2"/>
              </a:solidFill>
              <a:round/>
            </a:ln>
            <a:effectLst/>
          </c:spPr>
          <c:marker>
            <c:symbol val="none"/>
          </c:marker>
          <c:dLbls>
            <c:dLbl>
              <c:idx val="0"/>
              <c:layout>
                <c:manualLayout>
                  <c:x val="-4.6101694368353367E-2"/>
                  <c:y val="-0.1022067363530778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201-4795-AB38-A268A8D4C175}"/>
                </c:ext>
              </c:extLst>
            </c:dLbl>
            <c:dLbl>
              <c:idx val="1"/>
              <c:layout>
                <c:manualLayout>
                  <c:x val="-5.1224104853726405E-3"/>
                  <c:y val="-6.9686411149825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01-4795-AB38-A268A8D4C175}"/>
                </c:ext>
              </c:extLst>
            </c:dLbl>
            <c:dLbl>
              <c:idx val="2"/>
              <c:layout>
                <c:manualLayout>
                  <c:x val="-4.6954887022387079E-17"/>
                  <c:y val="-6.03948896631823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201-4795-AB38-A268A8D4C175}"/>
                </c:ext>
              </c:extLst>
            </c:dLbl>
            <c:dLbl>
              <c:idx val="3"/>
              <c:layout>
                <c:manualLayout>
                  <c:x val="-2.5612052426862968E-3"/>
                  <c:y val="-5.57491289198606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201-4795-AB38-A268A8D4C175}"/>
                </c:ext>
              </c:extLst>
            </c:dLbl>
            <c:dLbl>
              <c:idx val="4"/>
              <c:layout>
                <c:manualLayout>
                  <c:x val="-2.5612052426862968E-3"/>
                  <c:y val="-4.64576074332171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201-4795-AB38-A268A8D4C175}"/>
                </c:ext>
              </c:extLst>
            </c:dLbl>
            <c:dLbl>
              <c:idx val="5"/>
              <c:layout>
                <c:manualLayout>
                  <c:x val="-9.3909774044774158E-17"/>
                  <c:y val="-6.9686411149825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201-4795-AB38-A268A8D4C175}"/>
                </c:ext>
              </c:extLst>
            </c:dLbl>
            <c:dLbl>
              <c:idx val="6"/>
              <c:layout>
                <c:manualLayout>
                  <c:x val="-1.7928436698804173E-2"/>
                  <c:y val="-8.82694541231126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201-4795-AB38-A268A8D4C17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'Credit Paper Workings'!$C$128:$I$128</c:f>
              <c:numCache>
                <c:formatCode>#,##0_);\(#,##0\);"-  ";" "@" "</c:formatCode>
                <c:ptCount val="7"/>
                <c:pt idx="0">
                  <c:v>2010</c:v>
                </c:pt>
                <c:pt idx="1">
                  <c:v>2011</c:v>
                </c:pt>
                <c:pt idx="2">
                  <c:v>2012</c:v>
                </c:pt>
                <c:pt idx="3">
                  <c:v>2013</c:v>
                </c:pt>
                <c:pt idx="4">
                  <c:v>2014</c:v>
                </c:pt>
                <c:pt idx="5">
                  <c:v>2015</c:v>
                </c:pt>
                <c:pt idx="6">
                  <c:v>2016</c:v>
                </c:pt>
              </c:numCache>
            </c:numRef>
          </c:cat>
          <c:val>
            <c:numRef>
              <c:f>'Credit Paper Workings'!$C$130:$I$130</c:f>
              <c:numCache>
                <c:formatCode>_(* #,##0.00_);_(* \(#,##0.00\);_(* "-"??_);_(@_)</c:formatCode>
                <c:ptCount val="7"/>
                <c:pt idx="0">
                  <c:v>20.182965430286167</c:v>
                </c:pt>
                <c:pt idx="1">
                  <c:v>21.657177254220446</c:v>
                </c:pt>
                <c:pt idx="2">
                  <c:v>21.788385097433196</c:v>
                </c:pt>
                <c:pt idx="3">
                  <c:v>21.171829904649922</c:v>
                </c:pt>
                <c:pt idx="4">
                  <c:v>20.697472640224252</c:v>
                </c:pt>
                <c:pt idx="5">
                  <c:v>16.069987022981408</c:v>
                </c:pt>
                <c:pt idx="6">
                  <c:v>14.480688143264365</c:v>
                </c:pt>
              </c:numCache>
            </c:numRef>
          </c:val>
          <c:smooth val="0"/>
          <c:extLst>
            <c:ext xmlns:c16="http://schemas.microsoft.com/office/drawing/2014/chart" uri="{C3380CC4-5D6E-409C-BE32-E72D297353CC}">
              <c16:uniqueId val="{00000001-EB0A-49A2-98EB-E39DA63B62D7}"/>
            </c:ext>
          </c:extLst>
        </c:ser>
        <c:dLbls>
          <c:showLegendKey val="0"/>
          <c:showVal val="0"/>
          <c:showCatName val="0"/>
          <c:showSerName val="0"/>
          <c:showPercent val="0"/>
          <c:showBubbleSize val="0"/>
        </c:dLbls>
        <c:marker val="1"/>
        <c:smooth val="0"/>
        <c:axId val="392672904"/>
        <c:axId val="392669624"/>
      </c:lineChart>
      <c:catAx>
        <c:axId val="392672904"/>
        <c:scaling>
          <c:orientation val="minMax"/>
        </c:scaling>
        <c:delete val="0"/>
        <c:axPos val="b"/>
        <c:numFmt formatCode="#,##0_);\(#,##0\);&quot;-  &quot;;&quot; &quot;@&quot; &quot;"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92669624"/>
        <c:crosses val="autoZero"/>
        <c:auto val="1"/>
        <c:lblAlgn val="ctr"/>
        <c:lblOffset val="100"/>
        <c:noMultiLvlLbl val="0"/>
      </c:catAx>
      <c:valAx>
        <c:axId val="392669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CADc</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92672904"/>
        <c:crosses val="autoZero"/>
        <c:crossBetween val="between"/>
      </c:valAx>
      <c:valAx>
        <c:axId val="389316640"/>
        <c:scaling>
          <c:orientation val="minMax"/>
          <c:min val="250"/>
        </c:scaling>
        <c:delete val="0"/>
        <c:axPos val="r"/>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CAD</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89322544"/>
        <c:crosses val="max"/>
        <c:crossBetween val="between"/>
      </c:valAx>
      <c:catAx>
        <c:axId val="389322544"/>
        <c:scaling>
          <c:orientation val="minMax"/>
        </c:scaling>
        <c:delete val="1"/>
        <c:axPos val="b"/>
        <c:numFmt formatCode="#,##0_);\(#,##0\);&quot;-  &quot;;&quot; &quot;@&quot; &quot;" sourceLinked="1"/>
        <c:majorTickMark val="out"/>
        <c:minorTickMark val="none"/>
        <c:tickLblPos val="nextTo"/>
        <c:crossAx val="3893166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'Credit Paper Workings'!$B$149</c:f>
              <c:strCache>
                <c:ptCount val="1"/>
                <c:pt idx="0">
                  <c:v> CASM ex Fuel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'Credit Paper Workings'!$C$148:$I$148</c:f>
              <c:numCache>
                <c:formatCode>#,##0_);\(#,##0\);"-  ";" "@" "</c:formatCode>
                <c:ptCount val="7"/>
                <c:pt idx="0">
                  <c:v>2010</c:v>
                </c:pt>
                <c:pt idx="1">
                  <c:v>2011</c:v>
                </c:pt>
                <c:pt idx="2">
                  <c:v>2012</c:v>
                </c:pt>
                <c:pt idx="3">
                  <c:v>2013</c:v>
                </c:pt>
                <c:pt idx="4">
                  <c:v>2014</c:v>
                </c:pt>
                <c:pt idx="5">
                  <c:v>2015</c:v>
                </c:pt>
                <c:pt idx="6">
                  <c:v>2016</c:v>
                </c:pt>
              </c:numCache>
            </c:numRef>
          </c:cat>
          <c:val>
            <c:numRef>
              <c:f>'Credit Paper Workings'!$C$149:$I$149</c:f>
              <c:numCache>
                <c:formatCode>#,##0.00</c:formatCode>
                <c:ptCount val="7"/>
                <c:pt idx="0">
                  <c:v>12.241716013607157</c:v>
                </c:pt>
                <c:pt idx="1">
                  <c:v>12.124586217273547</c:v>
                </c:pt>
                <c:pt idx="2">
                  <c:v>12.073912203243694</c:v>
                </c:pt>
                <c:pt idx="3">
                  <c:v>12.000349991979352</c:v>
                </c:pt>
                <c:pt idx="4">
                  <c:v>11.787952198568124</c:v>
                </c:pt>
                <c:pt idx="5">
                  <c:v>12.241718292094818</c:v>
                </c:pt>
                <c:pt idx="6">
                  <c:v>11.821926967625046</c:v>
                </c:pt>
              </c:numCache>
            </c:numRef>
          </c:val>
          <c:extLst>
            <c:ext xmlns:c16="http://schemas.microsoft.com/office/drawing/2014/chart" uri="{C3380CC4-5D6E-409C-BE32-E72D297353CC}">
              <c16:uniqueId val="{00000000-F41A-4323-86B6-107BCDAA9890}"/>
            </c:ext>
          </c:extLst>
        </c:ser>
        <c:ser>
          <c:idx val="1"/>
          <c:order val="1"/>
          <c:tx>
            <c:strRef>
              <c:f>'Credit Paper Workings'!$B$150</c:f>
              <c:strCache>
                <c:ptCount val="1"/>
                <c:pt idx="0">
                  <c:v> Fuel CASM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'Credit Paper Workings'!$C$148:$I$148</c:f>
              <c:numCache>
                <c:formatCode>#,##0_);\(#,##0\);"-  ";" "@" "</c:formatCode>
                <c:ptCount val="7"/>
                <c:pt idx="0">
                  <c:v>2010</c:v>
                </c:pt>
                <c:pt idx="1">
                  <c:v>2011</c:v>
                </c:pt>
                <c:pt idx="2">
                  <c:v>2012</c:v>
                </c:pt>
                <c:pt idx="3">
                  <c:v>2013</c:v>
                </c:pt>
                <c:pt idx="4">
                  <c:v>2014</c:v>
                </c:pt>
                <c:pt idx="5">
                  <c:v>2015</c:v>
                </c:pt>
                <c:pt idx="6">
                  <c:v>2016</c:v>
                </c:pt>
              </c:numCache>
            </c:numRef>
          </c:cat>
          <c:val>
            <c:numRef>
              <c:f>'Credit Paper Workings'!$C$150:$I$150</c:f>
              <c:numCache>
                <c:formatCode>#,##0.00</c:formatCode>
                <c:ptCount val="7"/>
                <c:pt idx="0">
                  <c:v>4.176641048255008</c:v>
                </c:pt>
                <c:pt idx="1">
                  <c:v>5.0782425519109236</c:v>
                </c:pt>
                <c:pt idx="2">
                  <c:v>5.2936716764036928</c:v>
                </c:pt>
                <c:pt idx="3">
                  <c:v>5.1536318959357184</c:v>
                </c:pt>
                <c:pt idx="4">
                  <c:v>5.0711201938042194</c:v>
                </c:pt>
                <c:pt idx="5">
                  <c:v>3.0468276638102658</c:v>
                </c:pt>
                <c:pt idx="6">
                  <c:v>2.4577788322584819</c:v>
                </c:pt>
              </c:numCache>
            </c:numRef>
          </c:val>
          <c:extLst>
            <c:ext xmlns:c16="http://schemas.microsoft.com/office/drawing/2014/chart" uri="{C3380CC4-5D6E-409C-BE32-E72D297353CC}">
              <c16:uniqueId val="{00000001-F41A-4323-86B6-107BCDAA9890}"/>
            </c:ext>
          </c:extLst>
        </c:ser>
        <c:dLbls>
          <c:dLblPos val="ctr"/>
          <c:showLegendKey val="0"/>
          <c:showVal val="1"/>
          <c:showCatName val="0"/>
          <c:showSerName val="0"/>
          <c:showPercent val="0"/>
          <c:showBubbleSize val="0"/>
        </c:dLbls>
        <c:gapWidth val="150"/>
        <c:overlap val="100"/>
        <c:axId val="396269232"/>
        <c:axId val="396264968"/>
      </c:barChart>
      <c:catAx>
        <c:axId val="396269232"/>
        <c:scaling>
          <c:orientation val="minMax"/>
        </c:scaling>
        <c:delete val="0"/>
        <c:axPos val="b"/>
        <c:numFmt formatCode="#,##0_);\(#,##0\);&quot;-  &quot;;&quot; &quot;@&quot; &quot;"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96264968"/>
        <c:crosses val="autoZero"/>
        <c:auto val="1"/>
        <c:lblAlgn val="ctr"/>
        <c:lblOffset val="100"/>
        <c:noMultiLvlLbl val="0"/>
      </c:catAx>
      <c:valAx>
        <c:axId val="396264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CAD</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96269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'Credit Paper Workings'!$D$221</c:f>
              <c:strCache>
                <c:ptCount val="1"/>
                <c:pt idx="0">
                  <c:v> 9m 2016 </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A9EC-43F3-9AC2-50824F1EF2E4}"/>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A9EC-43F3-9AC2-50824F1EF2E4}"/>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A9EC-43F3-9AC2-50824F1EF2E4}"/>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A9EC-43F3-9AC2-50824F1EF2E4}"/>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A9EC-43F3-9AC2-50824F1EF2E4}"/>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A9EC-43F3-9AC2-50824F1EF2E4}"/>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'Credit Paper Workings'!$B$222:$B$227</c:f>
              <c:strCache>
                <c:ptCount val="6"/>
                <c:pt idx="0">
                  <c:v> Russia </c:v>
                </c:pt>
                <c:pt idx="1">
                  <c:v> Europe </c:v>
                </c:pt>
                <c:pt idx="2">
                  <c:v> Asia </c:v>
                </c:pt>
                <c:pt idx="3">
                  <c:v> CIS </c:v>
                </c:pt>
                <c:pt idx="4">
                  <c:v> Americas </c:v>
                </c:pt>
                <c:pt idx="5">
                  <c:v> Middle East </c:v>
                </c:pt>
              </c:strCache>
            </c:strRef>
          </c:cat>
          <c:val>
            <c:numRef>
              <c:f>'Credit Paper Workings'!$D$222:$D$227</c:f>
              <c:numCache>
                <c:formatCode>#,##0;[Red]\(#,##0\)</c:formatCode>
                <c:ptCount val="6"/>
              </c:numCache>
            </c:numRef>
          </c:val>
          <c:extLst>
            <c:ext xmlns:c16="http://schemas.microsoft.com/office/drawing/2014/chart" uri="{C3380CC4-5D6E-409C-BE32-E72D297353CC}">
              <c16:uniqueId val="{00000000-5290-41EE-922A-390FF3CB3F29}"/>
            </c:ext>
          </c:extLst>
        </c:ser>
        <c:dLbls>
          <c:showLegendKey val="0"/>
          <c:showVal val="0"/>
          <c:showCatName val="0"/>
          <c:showSerName val="0"/>
          <c:showPercent val="1"/>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'Credit Paper Workings'!$B$330</c:f>
              <c:strCache>
                <c:ptCount val="1"/>
                <c:pt idx="0">
                  <c:v> Gross Capex </c:v>
                </c:pt>
              </c:strCache>
            </c:strRef>
          </c:tx>
          <c:spPr>
            <a:solidFill>
              <a:schemeClr val="accent1"/>
            </a:solidFill>
            <a:ln>
              <a:noFill/>
            </a:ln>
            <a:effectLst/>
          </c:spPr>
          <c:invertIfNegative val="0"/>
          <c:dPt>
            <c:idx val="7"/>
            <c:invertIfNegative val="0"/>
            <c:bubble3D val="0"/>
            <c:spPr>
              <a:solidFill>
                <a:srgbClr val="C00000"/>
              </a:solidFill>
              <a:ln>
                <a:solidFill>
                  <a:srgbClr val="C00000"/>
                </a:solidFill>
              </a:ln>
              <a:effectLst/>
            </c:spPr>
            <c:extLst>
              <c:ext xmlns:c16="http://schemas.microsoft.com/office/drawing/2014/chart" uri="{C3380CC4-5D6E-409C-BE32-E72D297353CC}">
                <c16:uniqueId val="{00000007-A696-4932-BAEC-FC344FE85F06}"/>
              </c:ext>
            </c:extLst>
          </c:dPt>
          <c:dPt>
            <c:idx val="8"/>
            <c:invertIfNegative val="0"/>
            <c:bubble3D val="0"/>
            <c:spPr>
              <a:solidFill>
                <a:srgbClr val="C00000"/>
              </a:solidFill>
              <a:ln>
                <a:solidFill>
                  <a:srgbClr val="C00000"/>
                </a:solidFill>
              </a:ln>
              <a:effectLst/>
            </c:spPr>
            <c:extLst>
              <c:ext xmlns:c16="http://schemas.microsoft.com/office/drawing/2014/chart" uri="{C3380CC4-5D6E-409C-BE32-E72D297353CC}">
                <c16:uniqueId val="{00000008-A696-4932-BAEC-FC344FE85F0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'Credit Paper Workings'!$C$329:$M$329</c:f>
              <c:strCache>
                <c:ptCount val="11"/>
                <c:pt idx="0">
                  <c:v>2,010 </c:v>
                </c:pt>
                <c:pt idx="1">
                  <c:v>2,011 </c:v>
                </c:pt>
                <c:pt idx="2">
                  <c:v>2,012 </c:v>
                </c:pt>
                <c:pt idx="3">
                  <c:v>2,013 </c:v>
                </c:pt>
                <c:pt idx="4">
                  <c:v>2,014 </c:v>
                </c:pt>
                <c:pt idx="5">
                  <c:v>2,015 </c:v>
                </c:pt>
                <c:pt idx="6">
                  <c:v>2,016 </c:v>
                </c:pt>
                <c:pt idx="7">
                  <c:v>2,017 </c:v>
                </c:pt>
                <c:pt idx="8">
                  <c:v>2,018 </c:v>
                </c:pt>
                <c:pt idx="9">
                  <c:v> 2017f </c:v>
                </c:pt>
                <c:pt idx="10">
                  <c:v> 2018f </c:v>
                </c:pt>
              </c:strCache>
            </c:strRef>
          </c:cat>
          <c:val>
            <c:numRef>
              <c:f>'Credit Paper Workings'!$C$330:$M$330</c:f>
              <c:numCache>
                <c:formatCode>#,##0;[Red]\(#,##0\)</c:formatCode>
                <c:ptCount val="11"/>
                <c:pt idx="0">
                  <c:v>114.5419776934352</c:v>
                </c:pt>
                <c:pt idx="1">
                  <c:v>222.48515922858329</c:v>
                </c:pt>
                <c:pt idx="2">
                  <c:v>462.16637989676286</c:v>
                </c:pt>
                <c:pt idx="3">
                  <c:v>934.16197319867933</c:v>
                </c:pt>
                <c:pt idx="4">
                  <c:v>1442.2984529643509</c:v>
                </c:pt>
                <c:pt idx="5">
                  <c:v>1420.5990779803228</c:v>
                </c:pt>
                <c:pt idx="6">
                  <c:v>0</c:v>
                </c:pt>
                <c:pt idx="7">
                  <c:v>0</c:v>
                </c:pt>
                <c:pt idx="8">
                  <c:v>0</c:v>
                </c:pt>
                <c:pt idx="9">
                  <c:v>1800</c:v>
                </c:pt>
                <c:pt idx="10">
                  <c:v>2000</c:v>
                </c:pt>
              </c:numCache>
            </c:numRef>
          </c:val>
          <c:extLst>
            <c:ext xmlns:c16="http://schemas.microsoft.com/office/drawing/2014/chart" uri="{C3380CC4-5D6E-409C-BE32-E72D297353CC}">
              <c16:uniqueId val="{00000000-A696-4932-BAEC-FC344FE85F06}"/>
            </c:ext>
          </c:extLst>
        </c:ser>
        <c:dLbls>
          <c:showLegendKey val="0"/>
          <c:showVal val="0"/>
          <c:showCatName val="0"/>
          <c:showSerName val="0"/>
          <c:showPercent val="0"/>
          <c:showBubbleSize val="0"/>
        </c:dLbls>
        <c:gapWidth val="219"/>
        <c:overlap val="-27"/>
        <c:axId val="761370440"/>
        <c:axId val="761367488"/>
      </c:barChart>
      <c:catAx>
        <c:axId val="761370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61367488"/>
        <c:crosses val="autoZero"/>
        <c:auto val="1"/>
        <c:lblAlgn val="ctr"/>
        <c:lblOffset val="100"/>
        <c:noMultiLvlLbl val="0"/>
      </c:catAx>
      <c:valAx>
        <c:axId val="761367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US$'m</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613704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'Credit Paper Workings'!$B$66</c:f>
              <c:strCache>
                <c:ptCount val="1"/>
                <c:pt idx="0">
                  <c:v> Canadian Cities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'Credit Paper Workings'!$C$65:$I$65</c:f>
              <c:numCache>
                <c:formatCode>#,##0_);\(#,##0\);"-  ";" "@" "</c:formatCode>
                <c:ptCount val="7"/>
                <c:pt idx="0">
                  <c:v>2010</c:v>
                </c:pt>
                <c:pt idx="1">
                  <c:v>2011</c:v>
                </c:pt>
                <c:pt idx="2">
                  <c:v>2012</c:v>
                </c:pt>
                <c:pt idx="3">
                  <c:v>2013</c:v>
                </c:pt>
                <c:pt idx="4">
                  <c:v>2014</c:v>
                </c:pt>
                <c:pt idx="5">
                  <c:v>2015</c:v>
                </c:pt>
                <c:pt idx="6">
                  <c:v>2016</c:v>
                </c:pt>
              </c:numCache>
            </c:numRef>
          </c:cat>
          <c:val>
            <c:numRef>
              <c:f>'Credit Paper Workings'!$C$66:$I$66</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A9B-470F-AFB2-DAFF1F6C79F5}"/>
            </c:ext>
          </c:extLst>
        </c:ser>
        <c:ser>
          <c:idx val="1"/>
          <c:order val="1"/>
          <c:tx>
            <c:strRef>
              <c:f>'Credit Paper Workings'!$B$67</c:f>
              <c:strCache>
                <c:ptCount val="1"/>
                <c:pt idx="0">
                  <c:v> US Cities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'Credit Paper Workings'!$C$65:$I$65</c:f>
              <c:numCache>
                <c:formatCode>#,##0_);\(#,##0\);"-  ";" "@" "</c:formatCode>
                <c:ptCount val="7"/>
                <c:pt idx="0">
                  <c:v>2010</c:v>
                </c:pt>
                <c:pt idx="1">
                  <c:v>2011</c:v>
                </c:pt>
                <c:pt idx="2">
                  <c:v>2012</c:v>
                </c:pt>
                <c:pt idx="3">
                  <c:v>2013</c:v>
                </c:pt>
                <c:pt idx="4">
                  <c:v>2014</c:v>
                </c:pt>
                <c:pt idx="5">
                  <c:v>2015</c:v>
                </c:pt>
                <c:pt idx="6">
                  <c:v>2016</c:v>
                </c:pt>
              </c:numCache>
            </c:numRef>
          </c:cat>
          <c:val>
            <c:numRef>
              <c:f>'Credit Paper Workings'!$C$67:$I$67</c:f>
              <c:numCache>
                <c:formatCode>#,##0</c:formatCode>
                <c:ptCount val="7"/>
                <c:pt idx="0">
                  <c:v>178</c:v>
                </c:pt>
                <c:pt idx="1">
                  <c:v>180</c:v>
                </c:pt>
                <c:pt idx="2">
                  <c:v>178</c:v>
                </c:pt>
                <c:pt idx="3">
                  <c:v>181</c:v>
                </c:pt>
                <c:pt idx="4">
                  <c:v>186</c:v>
                </c:pt>
                <c:pt idx="5">
                  <c:v>193</c:v>
                </c:pt>
                <c:pt idx="6">
                  <c:v>206</c:v>
                </c:pt>
              </c:numCache>
            </c:numRef>
          </c:val>
          <c:extLst>
            <c:ext xmlns:c16="http://schemas.microsoft.com/office/drawing/2014/chart" uri="{C3380CC4-5D6E-409C-BE32-E72D297353CC}">
              <c16:uniqueId val="{00000001-DA9B-470F-AFB2-DAFF1F6C79F5}"/>
            </c:ext>
          </c:extLst>
        </c:ser>
        <c:ser>
          <c:idx val="2"/>
          <c:order val="2"/>
          <c:tx>
            <c:strRef>
              <c:f>'Credit Paper Workings'!$B$68</c:f>
              <c:strCache>
                <c:ptCount val="1"/>
                <c:pt idx="0">
                  <c:v> Other citites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'Credit Paper Workings'!$C$65:$I$65</c:f>
              <c:numCache>
                <c:formatCode>#,##0_);\(#,##0\);"-  ";" "@" "</c:formatCode>
                <c:ptCount val="7"/>
                <c:pt idx="0">
                  <c:v>2010</c:v>
                </c:pt>
                <c:pt idx="1">
                  <c:v>2011</c:v>
                </c:pt>
                <c:pt idx="2">
                  <c:v>2012</c:v>
                </c:pt>
                <c:pt idx="3">
                  <c:v>2013</c:v>
                </c:pt>
                <c:pt idx="4">
                  <c:v>2014</c:v>
                </c:pt>
                <c:pt idx="5">
                  <c:v>2015</c:v>
                </c:pt>
                <c:pt idx="6">
                  <c:v>2016</c:v>
                </c:pt>
              </c:numCache>
            </c:numRef>
          </c:cat>
          <c:val>
            <c:numRef>
              <c:f>'Credit Paper Workings'!$C$68:$I$68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DA9B-470F-AFB2-DAFF1F6C79F5}"/>
            </c:ext>
          </c:extLst>
        </c:ser>
        <c:dLbls>
          <c:showLegendKey val="0"/>
          <c:showVal val="0"/>
          <c:showCatName val="0"/>
          <c:showSerName val="0"/>
          <c:showPercent val="0"/>
          <c:showBubbleSize val="0"/>
        </c:dLbls>
        <c:gapWidth val="150"/>
        <c:overlap val="100"/>
        <c:axId val="516493104"/>
        <c:axId val="516498024"/>
      </c:barChart>
      <c:lineChart>
        <c:grouping val="standard"/>
        <c:varyColors val="0"/>
        <c:ser>
          <c:idx val="3"/>
          <c:order val="3"/>
          <c:tx>
            <c:strRef>
              <c:f>'Credit Paper Workings'!$B$69</c:f>
              <c:strCache>
                <c:ptCount val="1"/>
                <c:pt idx="0">
                  <c:v> Average Daily Flights (RHS) </c:v>
                </c:pt>
              </c:strCache>
            </c:strRef>
          </c:tx>
          <c:spPr>
            <a:ln w="28575" cap="rnd">
              <a:solidFill>
                <a:schemeClr val="accent4"/>
              </a:solidFill>
              <a:round/>
            </a:ln>
            <a:effectLst/>
          </c:spPr>
          <c:marker>
            <c:symbol val="none"/>
          </c:marker>
          <c:cat>
            <c:numRef>
              <c:f>'Credit Paper Workings'!$C$65:$I$65</c:f>
              <c:numCache>
                <c:formatCode>#,##0_);\(#,##0\);"-  ";" "@" "</c:formatCode>
                <c:ptCount val="7"/>
                <c:pt idx="0">
                  <c:v>2010</c:v>
                </c:pt>
                <c:pt idx="1">
                  <c:v>2011</c:v>
                </c:pt>
                <c:pt idx="2">
                  <c:v>2012</c:v>
                </c:pt>
                <c:pt idx="3">
                  <c:v>2013</c:v>
                </c:pt>
                <c:pt idx="4">
                  <c:v>2014</c:v>
                </c:pt>
                <c:pt idx="5">
                  <c:v>2015</c:v>
                </c:pt>
                <c:pt idx="6">
                  <c:v>2016</c:v>
                </c:pt>
              </c:numCache>
            </c:numRef>
          </c:cat>
          <c:val>
            <c:numRef>
              <c:f>'Credit Paper Workings'!$C$69:$I$69</c:f>
              <c:numCache>
                <c:formatCode>#,##0</c:formatCode>
                <c:ptCount val="7"/>
                <c:pt idx="0">
                  <c:v>1470</c:v>
                </c:pt>
                <c:pt idx="1">
                  <c:v>1506</c:v>
                </c:pt>
                <c:pt idx="2">
                  <c:v>1515.8469945355191</c:v>
                </c:pt>
                <c:pt idx="3">
                  <c:v>1498</c:v>
                </c:pt>
                <c:pt idx="4">
                  <c:v>1519</c:v>
                </c:pt>
                <c:pt idx="5">
                  <c:v>1579</c:v>
                </c:pt>
                <c:pt idx="6">
                  <c:v>1565.7103825136612</c:v>
                </c:pt>
              </c:numCache>
            </c:numRef>
          </c:val>
          <c:smooth val="0"/>
          <c:extLst>
            <c:ext xmlns:c16="http://schemas.microsoft.com/office/drawing/2014/chart" uri="{C3380CC4-5D6E-409C-BE32-E72D297353CC}">
              <c16:uniqueId val="{00000003-DA9B-470F-AFB2-DAFF1F6C79F5}"/>
            </c:ext>
          </c:extLst>
        </c:ser>
        <c:dLbls>
          <c:showLegendKey val="0"/>
          <c:showVal val="0"/>
          <c:showCatName val="0"/>
          <c:showSerName val="0"/>
          <c:showPercent val="0"/>
          <c:showBubbleSize val="0"/>
        </c:dLbls>
        <c:marker val="1"/>
        <c:smooth val="0"/>
        <c:axId val="397718928"/>
        <c:axId val="397719584"/>
      </c:lineChart>
      <c:catAx>
        <c:axId val="516493104"/>
        <c:scaling>
          <c:orientation val="minMax"/>
        </c:scaling>
        <c:delete val="0"/>
        <c:axPos val="b"/>
        <c:numFmt formatCode="#,##0_);\(#,##0\);&quot;-  &quot;;&quot; &quot;@&quot; &quot;"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16498024"/>
        <c:crosses val="autoZero"/>
        <c:auto val="1"/>
        <c:lblAlgn val="ctr"/>
        <c:lblOffset val="100"/>
        <c:noMultiLvlLbl val="0"/>
      </c:catAx>
      <c:valAx>
        <c:axId val="516498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 of direct city destinations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16493104"/>
        <c:crosses val="autoZero"/>
        <c:crossBetween val="between"/>
      </c:valAx>
      <c:valAx>
        <c:axId val="397719584"/>
        <c:scaling>
          <c:orientation val="minMax"/>
        </c:scaling>
        <c:delete val="0"/>
        <c:axPos val="r"/>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Average Daily Flights</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97718928"/>
        <c:crosses val="max"/>
        <c:crossBetween val="between"/>
      </c:valAx>
      <c:catAx>
        <c:axId val="397718928"/>
        <c:scaling>
          <c:orientation val="minMax"/>
        </c:scaling>
        <c:delete val="1"/>
        <c:axPos val="b"/>
        <c:numFmt formatCode="#,##0_);\(#,##0\);&quot;-  &quot;;&quot; &quot;@&quot; &quot;" sourceLinked="1"/>
        <c:majorTickMark val="out"/>
        <c:minorTickMark val="none"/>
        <c:tickLblPos val="nextTo"/>
        <c:crossAx val="39771958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6"/>
          <c:order val="6"/>
          <c:tx>
            <c:strRef>
              <c:f>'Credit Paper Workings'!$B$85</c:f>
              <c:strCache>
                <c:ptCount val="1"/>
                <c:pt idx="0">
                  <c:v> Total ASK (RHS) </c:v>
                </c:pt>
              </c:strCache>
            </c:strRef>
          </c:tx>
          <c:spPr>
            <a:solidFill>
              <a:schemeClr val="accent1">
                <a:lumMod val="60000"/>
              </a:schemeClr>
            </a:solidFill>
            <a:ln>
              <a:noFill/>
            </a:ln>
            <a:effectLst/>
          </c:spPr>
          <c:invertIfNegative val="0"/>
          <c:cat>
            <c:numRef>
              <c:f>'Credit Paper Workings'!$C$78:$I$78</c:f>
              <c:numCache>
                <c:formatCode>#,##0_);\(#,##0\);"-  ";" "@" "</c:formatCode>
                <c:ptCount val="7"/>
                <c:pt idx="0">
                  <c:v>2010</c:v>
                </c:pt>
                <c:pt idx="1">
                  <c:v>2011</c:v>
                </c:pt>
                <c:pt idx="2">
                  <c:v>2012</c:v>
                </c:pt>
                <c:pt idx="3">
                  <c:v>2013</c:v>
                </c:pt>
                <c:pt idx="4">
                  <c:v>2014</c:v>
                </c:pt>
                <c:pt idx="5">
                  <c:v>2015</c:v>
                </c:pt>
                <c:pt idx="6">
                  <c:v>2016</c:v>
                </c:pt>
              </c:numCache>
            </c:numRef>
          </c:cat>
          <c:val>
            <c:numRef>
              <c:f>'Credit Paper Workings'!$C$85:$I$85</c:f>
              <c:numCache>
                <c:formatCode>#,##0</c:formatCode>
                <c:ptCount val="7"/>
                <c:pt idx="0">
                  <c:v>63496</c:v>
                </c:pt>
                <c:pt idx="1">
                  <c:v>66460</c:v>
                </c:pt>
                <c:pt idx="2">
                  <c:v>67269</c:v>
                </c:pt>
                <c:pt idx="3">
                  <c:v>68573</c:v>
                </c:pt>
                <c:pt idx="4">
                  <c:v>73889</c:v>
                </c:pt>
                <c:pt idx="5">
                  <c:v>80871</c:v>
                </c:pt>
                <c:pt idx="6">
                  <c:v>92726</c:v>
                </c:pt>
              </c:numCache>
            </c:numRef>
          </c:val>
          <c:extLst>
            <c:ext xmlns:c16="http://schemas.microsoft.com/office/drawing/2014/chart" uri="{C3380CC4-5D6E-409C-BE32-E72D297353CC}">
              <c16:uniqueId val="{00000006-D890-4BF0-AB98-F754A26063A7}"/>
            </c:ext>
          </c:extLst>
        </c:ser>
        <c:dLbls>
          <c:showLegendKey val="0"/>
          <c:showVal val="0"/>
          <c:showCatName val="0"/>
          <c:showSerName val="0"/>
          <c:showPercent val="0"/>
          <c:showBubbleSize val="0"/>
        </c:dLbls>
        <c:gapWidth val="150"/>
        <c:axId val="529822248"/>
        <c:axId val="529820936"/>
      </c:barChart>
      <c:lineChart>
        <c:grouping val="standard"/>
        <c:varyColors val="0"/>
        <c:ser>
          <c:idx val="0"/>
          <c:order val="0"/>
          <c:tx>
            <c:strRef>
              <c:f>'Credit Paper Workings'!$B$79</c:f>
              <c:strCache>
                <c:ptCount val="1"/>
                <c:pt idx="0">
                  <c:v> Domestic </c:v>
                </c:pt>
              </c:strCache>
            </c:strRef>
          </c:tx>
          <c:spPr>
            <a:ln w="28575" cap="rnd">
              <a:solidFill>
                <a:schemeClr val="accent1"/>
              </a:solidFill>
              <a:round/>
            </a:ln>
            <a:effectLst/>
          </c:spPr>
          <c:marker>
            <c:symbol val="none"/>
          </c:marker>
          <c:cat>
            <c:numRef>
              <c:f>'Credit Paper Workings'!$C$78:$I$78</c:f>
              <c:numCache>
                <c:formatCode>#,##0_);\(#,##0\);"-  ";" "@" "</c:formatCode>
                <c:ptCount val="7"/>
                <c:pt idx="0">
                  <c:v>2010</c:v>
                </c:pt>
                <c:pt idx="1">
                  <c:v>2011</c:v>
                </c:pt>
                <c:pt idx="2">
                  <c:v>2012</c:v>
                </c:pt>
                <c:pt idx="3">
                  <c:v>2013</c:v>
                </c:pt>
                <c:pt idx="4">
                  <c:v>2014</c:v>
                </c:pt>
                <c:pt idx="5">
                  <c:v>2015</c:v>
                </c:pt>
                <c:pt idx="6">
                  <c:v>2016</c:v>
                </c:pt>
              </c:numCache>
            </c:numRef>
          </c:cat>
          <c:val>
            <c:numRef>
              <c:f>'Credit Paper Workings'!$C$79:$I$79</c:f>
              <c:numCache>
                <c:formatCode>0.0%</c:formatCode>
                <c:ptCount val="7"/>
                <c:pt idx="0">
                  <c:v>2E-3</c:v>
                </c:pt>
                <c:pt idx="1">
                  <c:v>3.0000000000000001E-3</c:v>
                </c:pt>
                <c:pt idx="2">
                  <c:v>0.01</c:v>
                </c:pt>
                <c:pt idx="3">
                  <c:v>0.02</c:v>
                </c:pt>
                <c:pt idx="4">
                  <c:v>4.8000000000000001E-2</c:v>
                </c:pt>
                <c:pt idx="5">
                  <c:v>3.5000000000000003E-2</c:v>
                </c:pt>
                <c:pt idx="6">
                  <c:v>5.7000000000000002E-2</c:v>
                </c:pt>
              </c:numCache>
            </c:numRef>
          </c:val>
          <c:smooth val="0"/>
          <c:extLst>
            <c:ext xmlns:c16="http://schemas.microsoft.com/office/drawing/2014/chart" uri="{C3380CC4-5D6E-409C-BE32-E72D297353CC}">
              <c16:uniqueId val="{00000000-D890-4BF0-AB98-F754A26063A7}"/>
            </c:ext>
          </c:extLst>
        </c:ser>
        <c:ser>
          <c:idx val="1"/>
          <c:order val="1"/>
          <c:tx>
            <c:strRef>
              <c:f>'Credit Paper Workings'!$B$80</c:f>
              <c:strCache>
                <c:ptCount val="1"/>
                <c:pt idx="0">
                  <c:v> US Transborder </c:v>
                </c:pt>
              </c:strCache>
            </c:strRef>
          </c:tx>
          <c:spPr>
            <a:ln w="28575" cap="rnd">
              <a:solidFill>
                <a:schemeClr val="accent2"/>
              </a:solidFill>
              <a:round/>
            </a:ln>
            <a:effectLst/>
          </c:spPr>
          <c:marker>
            <c:symbol val="none"/>
          </c:marker>
          <c:cat>
            <c:numRef>
              <c:f>'Credit Paper Workings'!$C$78:$I$78</c:f>
              <c:numCache>
                <c:formatCode>#,##0_);\(#,##0\);"-  ";" "@" "</c:formatCode>
                <c:ptCount val="7"/>
                <c:pt idx="0">
                  <c:v>2010</c:v>
                </c:pt>
                <c:pt idx="1">
                  <c:v>2011</c:v>
                </c:pt>
                <c:pt idx="2">
                  <c:v>2012</c:v>
                </c:pt>
                <c:pt idx="3">
                  <c:v>2013</c:v>
                </c:pt>
                <c:pt idx="4">
                  <c:v>2014</c:v>
                </c:pt>
                <c:pt idx="5">
                  <c:v>2015</c:v>
                </c:pt>
                <c:pt idx="6">
                  <c:v>2016</c:v>
                </c:pt>
              </c:numCache>
            </c:numRef>
          </c:cat>
          <c:val>
            <c:numRef>
              <c:f>'Credit Paper Workings'!$C$80:$I$80</c:f>
              <c:numCache>
                <c:formatCode>0.0%</c:formatCode>
                <c:ptCount val="7"/>
                <c:pt idx="0">
                  <c:v>0.11700000000000001</c:v>
                </c:pt>
                <c:pt idx="1">
                  <c:v>6.7000000000000004E-2</c:v>
                </c:pt>
                <c:pt idx="2">
                  <c:v>2.8000000000000001E-2</c:v>
                </c:pt>
                <c:pt idx="3">
                  <c:v>-1E-3</c:v>
                </c:pt>
                <c:pt idx="4">
                  <c:v>9.8000000000000004E-2</c:v>
                </c:pt>
                <c:pt idx="5">
                  <c:v>0.14199999999999999</c:v>
                </c:pt>
                <c:pt idx="6">
                  <c:v>0.13900000000000001</c:v>
                </c:pt>
              </c:numCache>
            </c:numRef>
          </c:val>
          <c:smooth val="0"/>
          <c:extLst>
            <c:ext xmlns:c16="http://schemas.microsoft.com/office/drawing/2014/chart" uri="{C3380CC4-5D6E-409C-BE32-E72D297353CC}">
              <c16:uniqueId val="{00000001-D890-4BF0-AB98-F754A26063A7}"/>
            </c:ext>
          </c:extLst>
        </c:ser>
        <c:ser>
          <c:idx val="2"/>
          <c:order val="2"/>
          <c:tx>
            <c:strRef>
              <c:f>'Credit Paper Workings'!$B$81</c:f>
              <c:strCache>
                <c:ptCount val="1"/>
                <c:pt idx="0">
                  <c:v> Atlantic </c:v>
                </c:pt>
              </c:strCache>
            </c:strRef>
          </c:tx>
          <c:spPr>
            <a:ln w="28575" cap="rnd">
              <a:solidFill>
                <a:schemeClr val="accent3"/>
              </a:solidFill>
              <a:round/>
            </a:ln>
            <a:effectLst/>
          </c:spPr>
          <c:marker>
            <c:symbol val="none"/>
          </c:marker>
          <c:cat>
            <c:numRef>
              <c:f>'Credit Paper Workings'!$C$78:$I$78</c:f>
              <c:numCache>
                <c:formatCode>#,##0_);\(#,##0\);"-  ";" "@" "</c:formatCode>
                <c:ptCount val="7"/>
                <c:pt idx="0">
                  <c:v>2010</c:v>
                </c:pt>
                <c:pt idx="1">
                  <c:v>2011</c:v>
                </c:pt>
                <c:pt idx="2">
                  <c:v>2012</c:v>
                </c:pt>
                <c:pt idx="3">
                  <c:v>2013</c:v>
                </c:pt>
                <c:pt idx="4">
                  <c:v>2014</c:v>
                </c:pt>
                <c:pt idx="5">
                  <c:v>2015</c:v>
                </c:pt>
                <c:pt idx="6">
                  <c:v>2016</c:v>
                </c:pt>
              </c:numCache>
            </c:numRef>
          </c:cat>
          <c:val>
            <c:numRef>
              <c:f>'Credit Paper Workings'!$C$81:$I$81</c:f>
              <c:numCache>
                <c:formatCode>0.0%</c:formatCode>
                <c:ptCount val="7"/>
                <c:pt idx="0">
                  <c:v>5.5E-2</c:v>
                </c:pt>
                <c:pt idx="1">
                  <c:v>5.8999999999999997E-2</c:v>
                </c:pt>
                <c:pt idx="2">
                  <c:v>0</c:v>
                </c:pt>
                <c:pt idx="3">
                  <c:v>0.02</c:v>
                </c:pt>
                <c:pt idx="4">
                  <c:v>0.14299999999999999</c:v>
                </c:pt>
                <c:pt idx="5">
                  <c:v>0.125</c:v>
                </c:pt>
                <c:pt idx="6">
                  <c:v>0.21099999999999999</c:v>
                </c:pt>
              </c:numCache>
            </c:numRef>
          </c:val>
          <c:smooth val="0"/>
          <c:extLst>
            <c:ext xmlns:c16="http://schemas.microsoft.com/office/drawing/2014/chart" uri="{C3380CC4-5D6E-409C-BE32-E72D297353CC}">
              <c16:uniqueId val="{00000002-D890-4BF0-AB98-F754A26063A7}"/>
            </c:ext>
          </c:extLst>
        </c:ser>
        <c:ser>
          <c:idx val="3"/>
          <c:order val="3"/>
          <c:tx>
            <c:strRef>
              <c:f>'Credit Paper Workings'!$B$82</c:f>
              <c:strCache>
                <c:ptCount val="1"/>
                <c:pt idx="0">
                  <c:v> Pacific </c:v>
                </c:pt>
              </c:strCache>
            </c:strRef>
          </c:tx>
          <c:spPr>
            <a:ln w="28575" cap="rnd">
              <a:solidFill>
                <a:schemeClr val="accent4"/>
              </a:solidFill>
              <a:round/>
            </a:ln>
            <a:effectLst/>
          </c:spPr>
          <c:marker>
            <c:symbol val="none"/>
          </c:marker>
          <c:cat>
            <c:numRef>
              <c:f>'Credit Paper Workings'!$C$78:$I$78</c:f>
              <c:numCache>
                <c:formatCode>#,##0_);\(#,##0\);"-  ";" "@" "</c:formatCode>
                <c:ptCount val="7"/>
                <c:pt idx="0">
                  <c:v>2010</c:v>
                </c:pt>
                <c:pt idx="1">
                  <c:v>2011</c:v>
                </c:pt>
                <c:pt idx="2">
                  <c:v>2012</c:v>
                </c:pt>
                <c:pt idx="3">
                  <c:v>2013</c:v>
                </c:pt>
                <c:pt idx="4">
                  <c:v>2014</c:v>
                </c:pt>
                <c:pt idx="5">
                  <c:v>2015</c:v>
                </c:pt>
                <c:pt idx="6">
                  <c:v>2016</c:v>
                </c:pt>
              </c:numCache>
            </c:numRef>
          </c:cat>
          <c:val>
            <c:numRef>
              <c:f>'Credit Paper Workings'!$C$82:$I$82</c:f>
              <c:numCache>
                <c:formatCode>0.0%</c:formatCode>
                <c:ptCount val="7"/>
                <c:pt idx="0">
                  <c:v>0.23</c:v>
                </c:pt>
                <c:pt idx="1">
                  <c:v>7.1999999999999995E-2</c:v>
                </c:pt>
                <c:pt idx="2">
                  <c:v>1.7000000000000001E-2</c:v>
                </c:pt>
                <c:pt idx="3">
                  <c:v>6.7000000000000004E-2</c:v>
                </c:pt>
                <c:pt idx="4">
                  <c:v>4.2999999999999997E-2</c:v>
                </c:pt>
                <c:pt idx="5">
                  <c:v>9.0999999999999998E-2</c:v>
                </c:pt>
                <c:pt idx="6">
                  <c:v>0.21099999999999999</c:v>
                </c:pt>
              </c:numCache>
            </c:numRef>
          </c:val>
          <c:smooth val="0"/>
          <c:extLst>
            <c:ext xmlns:c16="http://schemas.microsoft.com/office/drawing/2014/chart" uri="{C3380CC4-5D6E-409C-BE32-E72D297353CC}">
              <c16:uniqueId val="{00000003-D890-4BF0-AB98-F754A26063A7}"/>
            </c:ext>
          </c:extLst>
        </c:ser>
        <c:ser>
          <c:idx val="4"/>
          <c:order val="4"/>
          <c:tx>
            <c:strRef>
              <c:f>'Credit Paper Workings'!$B$83</c:f>
              <c:strCache>
                <c:ptCount val="1"/>
                <c:pt idx="0">
                  <c:v> Other </c:v>
                </c:pt>
              </c:strCache>
            </c:strRef>
          </c:tx>
          <c:spPr>
            <a:ln w="28575" cap="rnd">
              <a:solidFill>
                <a:schemeClr val="accent5"/>
              </a:solidFill>
              <a:round/>
            </a:ln>
            <a:effectLst/>
          </c:spPr>
          <c:marker>
            <c:symbol val="none"/>
          </c:marker>
          <c:cat>
            <c:numRef>
              <c:f>'Credit Paper Workings'!$C$78:$I$78</c:f>
              <c:numCache>
                <c:formatCode>#,##0_);\(#,##0\);"-  ";" "@" "</c:formatCode>
                <c:ptCount val="7"/>
                <c:pt idx="0">
                  <c:v>2010</c:v>
                </c:pt>
                <c:pt idx="1">
                  <c:v>2011</c:v>
                </c:pt>
                <c:pt idx="2">
                  <c:v>2012</c:v>
                </c:pt>
                <c:pt idx="3">
                  <c:v>2013</c:v>
                </c:pt>
                <c:pt idx="4">
                  <c:v>2014</c:v>
                </c:pt>
                <c:pt idx="5">
                  <c:v>2015</c:v>
                </c:pt>
                <c:pt idx="6">
                  <c:v>2016</c:v>
                </c:pt>
              </c:numCache>
            </c:numRef>
          </c:cat>
          <c:val>
            <c:numRef>
              <c:f>'Credit Paper Workings'!$C$83:$I$83</c:f>
              <c:numCache>
                <c:formatCode>0.0%</c:formatCode>
                <c:ptCount val="7"/>
                <c:pt idx="0">
                  <c:v>7.1999999999999995E-2</c:v>
                </c:pt>
                <c:pt idx="1">
                  <c:v>7.0999999999999994E-2</c:v>
                </c:pt>
                <c:pt idx="2">
                  <c:v>1.4E-2</c:v>
                </c:pt>
                <c:pt idx="3">
                  <c:v>-4.7E-2</c:v>
                </c:pt>
                <c:pt idx="4">
                  <c:v>3.3000000000000002E-2</c:v>
                </c:pt>
                <c:pt idx="5">
                  <c:v>0.114</c:v>
                </c:pt>
                <c:pt idx="6">
                  <c:v>9.6000000000000002E-2</c:v>
                </c:pt>
              </c:numCache>
            </c:numRef>
          </c:val>
          <c:smooth val="0"/>
          <c:extLst>
            <c:ext xmlns:c16="http://schemas.microsoft.com/office/drawing/2014/chart" uri="{C3380CC4-5D6E-409C-BE32-E72D297353CC}">
              <c16:uniqueId val="{00000004-D890-4BF0-AB98-F754A26063A7}"/>
            </c:ext>
          </c:extLst>
        </c:ser>
        <c:ser>
          <c:idx val="5"/>
          <c:order val="5"/>
          <c:tx>
            <c:strRef>
              <c:f>'Credit Paper Workings'!$B$84</c:f>
              <c:strCache>
                <c:ptCount val="1"/>
                <c:pt idx="0">
                  <c:v> System growth </c:v>
                </c:pt>
              </c:strCache>
            </c:strRef>
          </c:tx>
          <c:spPr>
            <a:ln w="28575" cap="rnd">
              <a:solidFill>
                <a:schemeClr val="accent6"/>
              </a:solidFill>
              <a:prstDash val="dash"/>
              <a:round/>
            </a:ln>
            <a:effectLst/>
          </c:spPr>
          <c:marker>
            <c:symbol val="none"/>
          </c:marker>
          <c:cat>
            <c:numRef>
              <c:f>'Credit Paper Workings'!$C$78:$I$78</c:f>
              <c:numCache>
                <c:formatCode>#,##0_);\(#,##0\);"-  ";" "@" "</c:formatCode>
                <c:ptCount val="7"/>
                <c:pt idx="0">
                  <c:v>2010</c:v>
                </c:pt>
                <c:pt idx="1">
                  <c:v>2011</c:v>
                </c:pt>
                <c:pt idx="2">
                  <c:v>2012</c:v>
                </c:pt>
                <c:pt idx="3">
                  <c:v>2013</c:v>
                </c:pt>
                <c:pt idx="4">
                  <c:v>2014</c:v>
                </c:pt>
                <c:pt idx="5">
                  <c:v>2015</c:v>
                </c:pt>
                <c:pt idx="6">
                  <c:v>2016</c:v>
                </c:pt>
              </c:numCache>
            </c:numRef>
          </c:cat>
          <c:val>
            <c:numRef>
              <c:f>'Credit Paper Workings'!$C$84:$I$84</c:f>
              <c:numCache>
                <c:formatCode>0.0%</c:formatCode>
                <c:ptCount val="7"/>
                <c:pt idx="1">
                  <c:v>4.668010583343829E-2</c:v>
                </c:pt>
                <c:pt idx="2">
                  <c:v>1.2172735479987873E-2</c:v>
                </c:pt>
                <c:pt idx="3">
                  <c:v>1.9384857809689349E-2</c:v>
                </c:pt>
                <c:pt idx="4">
                  <c:v>7.7523223426129828E-2</c:v>
                </c:pt>
                <c:pt idx="5">
                  <c:v>9.4493090987833206E-2</c:v>
                </c:pt>
                <c:pt idx="6">
                  <c:v>0.14659148520483245</c:v>
                </c:pt>
              </c:numCache>
            </c:numRef>
          </c:val>
          <c:smooth val="0"/>
          <c:extLst>
            <c:ext xmlns:c16="http://schemas.microsoft.com/office/drawing/2014/chart" uri="{C3380CC4-5D6E-409C-BE32-E72D297353CC}">
              <c16:uniqueId val="{00000005-D890-4BF0-AB98-F754A26063A7}"/>
            </c:ext>
          </c:extLst>
        </c:ser>
        <c:dLbls>
          <c:showLegendKey val="0"/>
          <c:showVal val="0"/>
          <c:showCatName val="0"/>
          <c:showSerName val="0"/>
          <c:showPercent val="0"/>
          <c:showBubbleSize val="0"/>
        </c:dLbls>
        <c:marker val="1"/>
        <c:smooth val="0"/>
        <c:axId val="488314576"/>
        <c:axId val="488310968"/>
      </c:lineChart>
      <c:catAx>
        <c:axId val="488314576"/>
        <c:scaling>
          <c:orientation val="minMax"/>
        </c:scaling>
        <c:delete val="0"/>
        <c:axPos val="b"/>
        <c:numFmt formatCode="#,##0_);\(#,##0\);&quot;-  &quot;;&quot; &quot;@&quot; &quot;"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88310968"/>
        <c:crosses val="autoZero"/>
        <c:auto val="1"/>
        <c:lblAlgn val="ctr"/>
        <c:lblOffset val="100"/>
        <c:noMultiLvlLbl val="0"/>
      </c:catAx>
      <c:valAx>
        <c:axId val="488310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y-o-y ASM Growth</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88314576"/>
        <c:crosses val="autoZero"/>
        <c:crossBetween val="between"/>
      </c:valAx>
      <c:valAx>
        <c:axId val="529820936"/>
        <c:scaling>
          <c:orientation val="minMax"/>
          <c:min val="-25000"/>
        </c:scaling>
        <c:delete val="0"/>
        <c:axPos val="r"/>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ASMbn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29822248"/>
        <c:crosses val="max"/>
        <c:crossBetween val="between"/>
      </c:valAx>
      <c:catAx>
        <c:axId val="529822248"/>
        <c:scaling>
          <c:orientation val="minMax"/>
        </c:scaling>
        <c:delete val="1"/>
        <c:axPos val="b"/>
        <c:numFmt formatCode="#,##0_);\(#,##0\);&quot;-  &quot;;&quot; &quot;@&quot; &quot;" sourceLinked="1"/>
        <c:majorTickMark val="out"/>
        <c:minorTickMark val="none"/>
        <c:tickLblPos val="nextTo"/>
        <c:crossAx val="52982093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9F1-4E20-B034-49DFFDDAB0F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9F1-4E20-B034-49DFFDDAB0F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9F1-4E20-B034-49DFFDDAB0F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9F1-4E20-B034-49DFFDDAB0F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9F1-4E20-B034-49DFFDDAB0F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9F1-4E20-B034-49DFFDDAB0F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9F1-4E20-B034-49DFFDDAB0F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9F1-4E20-B034-49DFFDDAB0F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9F1-4E20-B034-49DFFDDAB0FD}"/>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'Credit Paper Workings'!$B$168:$B$176</c:f>
              <c:strCache>
                <c:ptCount val="9"/>
                <c:pt idx="0">
                  <c:v> Employee Costs  </c:v>
                </c:pt>
                <c:pt idx="1">
                  <c:v> Capacity Purchase Agreement </c:v>
                </c:pt>
                <c:pt idx="2">
                  <c:v> Fuel and oil  </c:v>
                </c:pt>
                <c:pt idx="3">
                  <c:v> Maintenance, materials &amp; engineering  </c:v>
                </c:pt>
                <c:pt idx="4">
                  <c:v> Landing fees, en route &amp; other variable charges  </c:v>
                </c:pt>
                <c:pt idx="5">
                  <c:v> Other operating expenses </c:v>
                </c:pt>
                <c:pt idx="6">
                  <c:v> Depreciation &amp; amortisation  </c:v>
                </c:pt>
                <c:pt idx="7">
                  <c:v> Selling &amp; distribution charges  </c:v>
                </c:pt>
                <c:pt idx="8">
                  <c:v> Aircraft rental expense (IS)  </c:v>
                </c:pt>
              </c:strCache>
            </c:strRef>
          </c:cat>
          <c:val>
            <c:numRef>
              <c:f>'Credit Paper Workings'!$I$168:$I$176</c:f>
              <c:numCache>
                <c:formatCode>#,##0.00</c:formatCode>
                <c:ptCount val="9"/>
                <c:pt idx="0">
                  <c:v>2.7068998986260597</c:v>
                </c:pt>
                <c:pt idx="1">
                  <c:v>2.596898388801415</c:v>
                </c:pt>
                <c:pt idx="2">
                  <c:v>2.4577788322584819</c:v>
                </c:pt>
                <c:pt idx="3">
                  <c:v>0.94903263378124803</c:v>
                </c:pt>
                <c:pt idx="4">
                  <c:v>1.8301231585531565</c:v>
                </c:pt>
                <c:pt idx="5">
                  <c:v>1.6025710156806074</c:v>
                </c:pt>
                <c:pt idx="6">
                  <c:v>0.88001207859715724</c:v>
                </c:pt>
                <c:pt idx="7">
                  <c:v>0.75814766085024698</c:v>
                </c:pt>
                <c:pt idx="8">
                  <c:v>0.49824213273515516</c:v>
                </c:pt>
              </c:numCache>
            </c:numRef>
          </c:val>
          <c:extLst>
            <c:ext xmlns:c16="http://schemas.microsoft.com/office/drawing/2014/chart" uri="{C3380CC4-5D6E-409C-BE32-E72D297353CC}">
              <c16:uniqueId val="{00000000-4F55-4D9C-87F0-57B5E2E4CC48}"/>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15</xdr:row>
      <xdr:rowOff>0</xdr:rowOff>
    </xdr:from>
    <xdr:to>
      <xdr:col>13</xdr:col>
      <xdr:colOff>9525</xdr:colOff>
      <xdr:row>15</xdr:row>
      <xdr:rowOff>9525</xdr:rowOff>
    </xdr:to>
    <xdr:pic>
      <xdr:nvPicPr>
        <xdr:cNvPr id="2" name="Picture 1" descr="https://scout.scoutanalytics.net/amr6f/PageHit.ashx?id=a84bf618-0096-480b-88ae-5385386082c3&amp;sn=1c863f51-6559-468d-9104-811bd4f89499&amp;msg=&amp;type=0&amp;url=http%3A%2F%2Fdashboard.flightglobal.com%2Fapp%2Fprofiles%2F%23%2Fairline%2Fsummary%2F-506%3FsearchTerms%3D%2522China%2520Eastern%2520Airlines%2522%26federated%3Dtrue&amp;rf=http%3A%2F%2Fdashboard.flightglobal.com%2Fapp%2F&amp;if=false&amp;cb=148646211688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154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19050</xdr:colOff>
      <xdr:row>15</xdr:row>
      <xdr:rowOff>0</xdr:rowOff>
    </xdr:from>
    <xdr:to>
      <xdr:col>13</xdr:col>
      <xdr:colOff>28575</xdr:colOff>
      <xdr:row>15</xdr:row>
      <xdr:rowOff>9525</xdr:rowOff>
    </xdr:to>
    <xdr:pic>
      <xdr:nvPicPr>
        <xdr:cNvPr id="3" name="Picture 2" descr="https://scout.scoutanalytics.net/amr6f/PageHit.ashx?id=a84bf618-0096-480b-88ae-5385386082c3&amp;sn=1c863f51-6559-468d-9104-811bd4f89499&amp;msg=&amp;type=0&amp;url=http%3A%2F%2Fdashboard.flightglobal.com%2Fapp%2Fprofiles%2F%23%2Fairline%2Fsummary%2F-506%3FsearchTerms%3D%2522China%2520Eastern%2520Airlines%2522%26federated%3Dtrue&amp;rf=http%3A%2F%2Fdashboard.flightglobal.com%2Fapp%2F&amp;if=false&amp;cb=1486462117039&amp;u=94775A0D-D844-42FF-A947-7341CC4F2311&amp;ct=environment%3Dlive%26pagename%3DNews">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3445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38100</xdr:colOff>
      <xdr:row>15</xdr:row>
      <xdr:rowOff>0</xdr:rowOff>
    </xdr:from>
    <xdr:to>
      <xdr:col>13</xdr:col>
      <xdr:colOff>47625</xdr:colOff>
      <xdr:row>15</xdr:row>
      <xdr:rowOff>9525</xdr:rowOff>
    </xdr:to>
    <xdr:pic>
      <xdr:nvPicPr>
        <xdr:cNvPr id="4" name="Picture 3" descr="https://scout.scoutanalytics.net/amr6f/PageHit.ashx?id=a84bf618-0096-480b-88ae-5385386082c3&amp;sn=1c863f51-6559-468d-9104-811bd4f89499&amp;msg=&amp;type=0&amp;url=http%3A%2F%2Fdashboard.flightglobal.com%2Fapp%2Fprofiles%2F%23%2Fairline%2Fnews%2F-506&amp;rf=http%3A%2F%2Fdashboard.flightglobal.com%2Fapp%2F&amp;if=false&amp;cb=1486462122731&amp;u=94775A0D-D844-42FF-A947-7341CC4F2311&amp;ct=environment%3Dlive%26pagename%3DNews">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57150</xdr:colOff>
      <xdr:row>15</xdr:row>
      <xdr:rowOff>0</xdr:rowOff>
    </xdr:from>
    <xdr:to>
      <xdr:col>13</xdr:col>
      <xdr:colOff>66675</xdr:colOff>
      <xdr:row>15</xdr:row>
      <xdr:rowOff>9525</xdr:rowOff>
    </xdr:to>
    <xdr:pic>
      <xdr:nvPicPr>
        <xdr:cNvPr id="5" name="Picture 4" descr="https://scout.scoutanalytics.net/amr6f/PageHit.ashx?id=0&amp;sn=0&amp;msg=&amp;type=0&amp;url=http%3A%2F%2Fdashboard.flightglobal.com%2Fapp%2Fprofiles%2F%23%2Fairline%2Fsummary%2F-506&amp;rf=http%3A%2F%2Fdashboard.flightglobal.com%2Fapp%2F&amp;if=false&amp;cb=1486476429138&amp;u=94775A0D-D844-42FF-A947-7341CC4F2311&amp;ct=environment%3Dlive%26pagename%3DNews">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7255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15</xdr:row>
      <xdr:rowOff>0</xdr:rowOff>
    </xdr:from>
    <xdr:to>
      <xdr:col>13</xdr:col>
      <xdr:colOff>9525</xdr:colOff>
      <xdr:row>15</xdr:row>
      <xdr:rowOff>9525</xdr:rowOff>
    </xdr:to>
    <xdr:pic>
      <xdr:nvPicPr>
        <xdr:cNvPr id="2" name="Picture 1" descr="https://scout.scoutanalytics.net/amr6f/PageHit.ashx?id=a84bf618-0096-480b-88ae-5385386082c3&amp;sn=1c863f51-6559-468d-9104-811bd4f89499&amp;msg=&amp;type=0&amp;url=http%3A%2F%2Fdashboard.flightglobal.com%2Fapp%2Fprofiles%2F%23%2Fairline%2Fsummary%2F-506%3FsearchTerms%3D%2522China%2520Eastern%2520Airlines%2522%26federated%3Dtrue&amp;rf=http%3A%2F%2Fdashboard.flightglobal.com%2Fapp%2F&amp;if=false&amp;cb=148646211688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15400" y="285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19050</xdr:colOff>
      <xdr:row>15</xdr:row>
      <xdr:rowOff>0</xdr:rowOff>
    </xdr:from>
    <xdr:to>
      <xdr:col>13</xdr:col>
      <xdr:colOff>28575</xdr:colOff>
      <xdr:row>15</xdr:row>
      <xdr:rowOff>9525</xdr:rowOff>
    </xdr:to>
    <xdr:pic>
      <xdr:nvPicPr>
        <xdr:cNvPr id="3" name="Picture 2" descr="https://scout.scoutanalytics.net/amr6f/PageHit.ashx?id=a84bf618-0096-480b-88ae-5385386082c3&amp;sn=1c863f51-6559-468d-9104-811bd4f89499&amp;msg=&amp;type=0&amp;url=http%3A%2F%2Fdashboard.flightglobal.com%2Fapp%2Fprofiles%2F%23%2Fairline%2Fsummary%2F-506%3FsearchTerms%3D%2522China%2520Eastern%2520Airlines%2522%26federated%3Dtrue&amp;rf=http%3A%2F%2Fdashboard.flightglobal.com%2Fapp%2F&amp;if=false&amp;cb=1486462117039&amp;u=94775A0D-D844-42FF-A947-7341CC4F2311&amp;ct=environment%3Dlive%26pagename%3DNews">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34450" y="285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38100</xdr:colOff>
      <xdr:row>15</xdr:row>
      <xdr:rowOff>0</xdr:rowOff>
    </xdr:from>
    <xdr:to>
      <xdr:col>13</xdr:col>
      <xdr:colOff>47625</xdr:colOff>
      <xdr:row>15</xdr:row>
      <xdr:rowOff>9525</xdr:rowOff>
    </xdr:to>
    <xdr:pic>
      <xdr:nvPicPr>
        <xdr:cNvPr id="4" name="Picture 3" descr="https://scout.scoutanalytics.net/amr6f/PageHit.ashx?id=a84bf618-0096-480b-88ae-5385386082c3&amp;sn=1c863f51-6559-468d-9104-811bd4f89499&amp;msg=&amp;type=0&amp;url=http%3A%2F%2Fdashboard.flightglobal.com%2Fapp%2Fprofiles%2F%23%2Fairline%2Fnews%2F-506&amp;rf=http%3A%2F%2Fdashboard.flightglobal.com%2Fapp%2F&amp;if=false&amp;cb=1486462122731&amp;u=94775A0D-D844-42FF-A947-7341CC4F2311&amp;ct=environment%3Dlive%26pagename%3DNews">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285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57150</xdr:colOff>
      <xdr:row>15</xdr:row>
      <xdr:rowOff>0</xdr:rowOff>
    </xdr:from>
    <xdr:to>
      <xdr:col>13</xdr:col>
      <xdr:colOff>66675</xdr:colOff>
      <xdr:row>15</xdr:row>
      <xdr:rowOff>9525</xdr:rowOff>
    </xdr:to>
    <xdr:pic>
      <xdr:nvPicPr>
        <xdr:cNvPr id="5" name="Picture 4" descr="https://scout.scoutanalytics.net/amr6f/PageHit.ashx?id=0&amp;sn=0&amp;msg=&amp;type=0&amp;url=http%3A%2F%2Fdashboard.flightglobal.com%2Fapp%2Fprofiles%2F%23%2Fairline%2Fsummary%2F-506&amp;rf=http%3A%2F%2Fdashboard.flightglobal.com%2Fapp%2F&amp;if=false&amp;cb=1486476429138&amp;u=94775A0D-D844-42FF-A947-7341CC4F2311&amp;ct=environment%3Dlive%26pagename%3DNews">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72550" y="285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409573</xdr:colOff>
      <xdr:row>91</xdr:row>
      <xdr:rowOff>104775</xdr:rowOff>
    </xdr:from>
    <xdr:to>
      <xdr:col>11</xdr:col>
      <xdr:colOff>470646</xdr:colOff>
      <xdr:row>103</xdr:row>
      <xdr:rowOff>134471</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995361</xdr:colOff>
      <xdr:row>111</xdr:row>
      <xdr:rowOff>38100</xdr:rowOff>
    </xdr:from>
    <xdr:to>
      <xdr:col>12</xdr:col>
      <xdr:colOff>22412</xdr:colOff>
      <xdr:row>124</xdr:row>
      <xdr:rowOff>89648</xdr:rowOff>
    </xdr:to>
    <xdr:graphicFrame macro="">
      <xdr:nvGraphicFramePr>
        <xdr:cNvPr id="4" name="Chart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258856</xdr:colOff>
      <xdr:row>131</xdr:row>
      <xdr:rowOff>40341</xdr:rowOff>
    </xdr:from>
    <xdr:to>
      <xdr:col>21</xdr:col>
      <xdr:colOff>0</xdr:colOff>
      <xdr:row>144</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1528762</xdr:colOff>
      <xdr:row>150</xdr:row>
      <xdr:rowOff>171450</xdr:rowOff>
    </xdr:from>
    <xdr:to>
      <xdr:col>9</xdr:col>
      <xdr:colOff>0</xdr:colOff>
      <xdr:row>164</xdr:row>
      <xdr:rowOff>123825</xdr:rowOff>
    </xdr:to>
    <xdr:graphicFrame macro="">
      <xdr:nvGraphicFramePr>
        <xdr:cNvPr id="5" name="Chart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285749</xdr:colOff>
      <xdr:row>218</xdr:row>
      <xdr:rowOff>34925</xdr:rowOff>
    </xdr:from>
    <xdr:to>
      <xdr:col>13</xdr:col>
      <xdr:colOff>473074</xdr:colOff>
      <xdr:row>231</xdr:row>
      <xdr:rowOff>44450</xdr:rowOff>
    </xdr:to>
    <xdr:graphicFrame macro="">
      <xdr:nvGraphicFramePr>
        <xdr:cNvPr id="6" name="Chart 5">
          <a:extLst>
            <a:ext uri="{FF2B5EF4-FFF2-40B4-BE49-F238E27FC236}">
              <a16:creationId xmlns:a16="http://schemas.microsoft.com/office/drawing/2014/main" id="{00000000-0008-0000-07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561975</xdr:colOff>
      <xdr:row>331</xdr:row>
      <xdr:rowOff>95250</xdr:rowOff>
    </xdr:from>
    <xdr:to>
      <xdr:col>7</xdr:col>
      <xdr:colOff>552450</xdr:colOff>
      <xdr:row>346</xdr:row>
      <xdr:rowOff>57150</xdr:rowOff>
    </xdr:to>
    <xdr:graphicFrame macro="">
      <xdr:nvGraphicFramePr>
        <xdr:cNvPr id="7" name="Chart 6">
          <a:extLst>
            <a:ext uri="{FF2B5EF4-FFF2-40B4-BE49-F238E27FC236}">
              <a16:creationId xmlns:a16="http://schemas.microsoft.com/office/drawing/2014/main" id="{00000000-0008-0000-07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458931</xdr:colOff>
      <xdr:row>62</xdr:row>
      <xdr:rowOff>48491</xdr:rowOff>
    </xdr:from>
    <xdr:to>
      <xdr:col>21</xdr:col>
      <xdr:colOff>0</xdr:colOff>
      <xdr:row>77</xdr:row>
      <xdr:rowOff>164523</xdr:rowOff>
    </xdr:to>
    <xdr:graphicFrame macro="">
      <xdr:nvGraphicFramePr>
        <xdr:cNvPr id="9" name="Chart 8">
          <a:extLst>
            <a:ext uri="{FF2B5EF4-FFF2-40B4-BE49-F238E27FC236}">
              <a16:creationId xmlns:a16="http://schemas.microsoft.com/office/drawing/2014/main" id="{FE8E4615-688B-40C4-AAAF-5E88F2C5CD9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207818</xdr:colOff>
      <xdr:row>78</xdr:row>
      <xdr:rowOff>31172</xdr:rowOff>
    </xdr:from>
    <xdr:to>
      <xdr:col>21</xdr:col>
      <xdr:colOff>0</xdr:colOff>
      <xdr:row>88</xdr:row>
      <xdr:rowOff>285749</xdr:rowOff>
    </xdr:to>
    <xdr:graphicFrame macro="">
      <xdr:nvGraphicFramePr>
        <xdr:cNvPr id="10" name="Chart 9">
          <a:extLst>
            <a:ext uri="{FF2B5EF4-FFF2-40B4-BE49-F238E27FC236}">
              <a16:creationId xmlns:a16="http://schemas.microsoft.com/office/drawing/2014/main" id="{58A76E82-2AAB-457B-9ECF-8C6AB1595C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470644</xdr:colOff>
      <xdr:row>149</xdr:row>
      <xdr:rowOff>186016</xdr:rowOff>
    </xdr:from>
    <xdr:to>
      <xdr:col>21</xdr:col>
      <xdr:colOff>0</xdr:colOff>
      <xdr:row>171</xdr:row>
      <xdr:rowOff>145678</xdr:rowOff>
    </xdr:to>
    <xdr:graphicFrame macro="">
      <xdr:nvGraphicFramePr>
        <xdr:cNvPr id="12" name="Chart 11">
          <a:extLst>
            <a:ext uri="{FF2B5EF4-FFF2-40B4-BE49-F238E27FC236}">
              <a16:creationId xmlns:a16="http://schemas.microsoft.com/office/drawing/2014/main" id="{4AD359DD-33D0-49DE-989F-04C1090001F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481852</xdr:colOff>
      <xdr:row>181</xdr:row>
      <xdr:rowOff>62753</xdr:rowOff>
    </xdr:from>
    <xdr:to>
      <xdr:col>21</xdr:col>
      <xdr:colOff>0</xdr:colOff>
      <xdr:row>198</xdr:row>
      <xdr:rowOff>112059</xdr:rowOff>
    </xdr:to>
    <xdr:graphicFrame macro="">
      <xdr:nvGraphicFramePr>
        <xdr:cNvPr id="13" name="Chart 12">
          <a:extLst>
            <a:ext uri="{FF2B5EF4-FFF2-40B4-BE49-F238E27FC236}">
              <a16:creationId xmlns:a16="http://schemas.microsoft.com/office/drawing/2014/main" id="{F47BB2CB-773C-41DD-B80D-932CFE16E1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0.82072</cdr:x>
      <cdr:y>0.18882</cdr:y>
    </cdr:from>
    <cdr:to>
      <cdr:x>0.8273</cdr:x>
      <cdr:y>0.51261</cdr:y>
    </cdr:to>
    <cdr:cxnSp macro="">
      <cdr:nvCxnSpPr>
        <cdr:cNvPr id="3" name="Straight Arrow Connector 2">
          <a:extLst xmlns:a="http://schemas.openxmlformats.org/drawingml/2006/main">
            <a:ext uri="{FF2B5EF4-FFF2-40B4-BE49-F238E27FC236}">
              <a16:creationId xmlns:a16="http://schemas.microsoft.com/office/drawing/2014/main" id="{189FB577-7DA0-49B7-A97B-D632904F547E}"/>
            </a:ext>
          </a:extLst>
        </cdr:cNvPr>
        <cdr:cNvCxnSpPr/>
      </cdr:nvCxnSpPr>
      <cdr:spPr>
        <a:xfrm xmlns:a="http://schemas.openxmlformats.org/drawingml/2006/main">
          <a:off x="5591736" y="620806"/>
          <a:ext cx="44824" cy="1064559"/>
        </a:xfrm>
        <a:prstGeom xmlns:a="http://schemas.openxmlformats.org/drawingml/2006/main" prst="straightConnector1">
          <a:avLst/>
        </a:prstGeom>
        <a:ln xmlns:a="http://schemas.openxmlformats.org/drawingml/2006/main">
          <a:solidFill>
            <a:srgbClr val="FF0000"/>
          </a:solidFill>
          <a:prstDash val="dash"/>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0.83553</cdr:x>
      <cdr:y>0.22972</cdr:y>
    </cdr:from>
    <cdr:to>
      <cdr:x>0.97204</cdr:x>
      <cdr:y>0.56033</cdr:y>
    </cdr:to>
    <cdr:sp macro="" textlink="">
      <cdr:nvSpPr>
        <cdr:cNvPr id="4" name="TextBox 3">
          <a:extLst xmlns:a="http://schemas.openxmlformats.org/drawingml/2006/main">
            <a:ext uri="{FF2B5EF4-FFF2-40B4-BE49-F238E27FC236}">
              <a16:creationId xmlns:a16="http://schemas.microsoft.com/office/drawing/2014/main" id="{142A13A6-6105-4912-9A5E-370F7B8292B0}"/>
            </a:ext>
          </a:extLst>
        </cdr:cNvPr>
        <cdr:cNvSpPr txBox="1"/>
      </cdr:nvSpPr>
      <cdr:spPr>
        <a:xfrm xmlns:a="http://schemas.openxmlformats.org/drawingml/2006/main">
          <a:off x="5692589" y="755275"/>
          <a:ext cx="930088" cy="10869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IE" sz="1100">
              <a:solidFill>
                <a:srgbClr val="FF0000"/>
              </a:solidFill>
            </a:rPr>
            <a:t>Lower Fuel - material</a:t>
          </a:r>
          <a:r>
            <a:rPr lang="en-IE" sz="1100" baseline="0">
              <a:solidFill>
                <a:srgbClr val="FF0000"/>
              </a:solidFill>
            </a:rPr>
            <a:t> shift in margin and headroom</a:t>
          </a:r>
          <a:endParaRPr lang="en-IE" sz="1100">
            <a:solidFill>
              <a:srgbClr val="FF0000"/>
            </a:solidFill>
          </a:endParaRPr>
        </a:p>
      </cdr:txBody>
    </cdr:sp>
  </cdr:relSizeAnchor>
</c:userShape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B1:N36"/>
  <sheetViews>
    <sheetView workbookViewId="0">
      <selection activeCell="B2" sqref="B2:K36"/>
    </sheetView>
  </sheetViews>
  <sheetFormatPr defaultColWidth="9" defaultRowHeight="14.4" x14ac:dyDescent="0.3"/>
  <cols>
    <col min="1" max="16384" width="9" style="52"/>
  </cols>
  <sheetData>
    <row r="1" spans="2:14" ht="15" thickBot="1" x14ac:dyDescent="0.35"/>
    <row r="2" spans="2:14" x14ac:dyDescent="0.3">
      <c r="B2" s="339" t="str">
        <f>(Inputs!E9   &amp;   "  
Financial Data Book  ")</f>
        <v xml:space="preserve">Air Canada  
Financial Data Book  </v>
      </c>
      <c r="C2" s="340"/>
      <c r="D2" s="340"/>
      <c r="E2" s="340"/>
      <c r="F2" s="340"/>
      <c r="G2" s="340"/>
      <c r="H2" s="340"/>
      <c r="I2" s="340"/>
      <c r="J2" s="340"/>
      <c r="K2" s="341"/>
    </row>
    <row r="3" spans="2:14" x14ac:dyDescent="0.3">
      <c r="B3" s="342"/>
      <c r="C3" s="343"/>
      <c r="D3" s="343"/>
      <c r="E3" s="343"/>
      <c r="F3" s="343"/>
      <c r="G3" s="343"/>
      <c r="H3" s="343"/>
      <c r="I3" s="343"/>
      <c r="J3" s="343"/>
      <c r="K3" s="344"/>
    </row>
    <row r="4" spans="2:14" x14ac:dyDescent="0.3">
      <c r="B4" s="342"/>
      <c r="C4" s="343"/>
      <c r="D4" s="343"/>
      <c r="E4" s="343"/>
      <c r="F4" s="343"/>
      <c r="G4" s="343"/>
      <c r="H4" s="343"/>
      <c r="I4" s="343"/>
      <c r="J4" s="343"/>
      <c r="K4" s="344"/>
    </row>
    <row r="5" spans="2:14" x14ac:dyDescent="0.3">
      <c r="B5" s="342"/>
      <c r="C5" s="343"/>
      <c r="D5" s="343"/>
      <c r="E5" s="343"/>
      <c r="F5" s="343"/>
      <c r="G5" s="343"/>
      <c r="H5" s="343"/>
      <c r="I5" s="343"/>
      <c r="J5" s="343"/>
      <c r="K5" s="344"/>
    </row>
    <row r="6" spans="2:14" x14ac:dyDescent="0.3">
      <c r="B6" s="342"/>
      <c r="C6" s="343"/>
      <c r="D6" s="343"/>
      <c r="E6" s="343"/>
      <c r="F6" s="343"/>
      <c r="G6" s="343"/>
      <c r="H6" s="343"/>
      <c r="I6" s="343"/>
      <c r="J6" s="343"/>
      <c r="K6" s="344"/>
    </row>
    <row r="7" spans="2:14" x14ac:dyDescent="0.3">
      <c r="B7" s="342"/>
      <c r="C7" s="343"/>
      <c r="D7" s="343"/>
      <c r="E7" s="343"/>
      <c r="F7" s="343"/>
      <c r="G7" s="343"/>
      <c r="H7" s="343"/>
      <c r="I7" s="343"/>
      <c r="J7" s="343"/>
      <c r="K7" s="344"/>
    </row>
    <row r="8" spans="2:14" x14ac:dyDescent="0.3">
      <c r="B8" s="342"/>
      <c r="C8" s="343"/>
      <c r="D8" s="343"/>
      <c r="E8" s="343"/>
      <c r="F8" s="343"/>
      <c r="G8" s="343"/>
      <c r="H8" s="343"/>
      <c r="I8" s="343"/>
      <c r="J8" s="343"/>
      <c r="K8" s="344"/>
    </row>
    <row r="9" spans="2:14" x14ac:dyDescent="0.3">
      <c r="B9" s="342"/>
      <c r="C9" s="343"/>
      <c r="D9" s="343"/>
      <c r="E9" s="343"/>
      <c r="F9" s="343"/>
      <c r="G9" s="343"/>
      <c r="H9" s="343"/>
      <c r="I9" s="343"/>
      <c r="J9" s="343"/>
      <c r="K9" s="344"/>
    </row>
    <row r="10" spans="2:14" x14ac:dyDescent="0.3">
      <c r="B10" s="342"/>
      <c r="C10" s="343"/>
      <c r="D10" s="343"/>
      <c r="E10" s="343"/>
      <c r="F10" s="343"/>
      <c r="G10" s="343"/>
      <c r="H10" s="343"/>
      <c r="I10" s="343"/>
      <c r="J10" s="343"/>
      <c r="K10" s="344"/>
    </row>
    <row r="11" spans="2:14" x14ac:dyDescent="0.3">
      <c r="B11" s="342"/>
      <c r="C11" s="343"/>
      <c r="D11" s="343"/>
      <c r="E11" s="343"/>
      <c r="F11" s="343"/>
      <c r="G11" s="343"/>
      <c r="H11" s="343"/>
      <c r="I11" s="343"/>
      <c r="J11" s="343"/>
      <c r="K11" s="344"/>
    </row>
    <row r="12" spans="2:14" x14ac:dyDescent="0.3">
      <c r="B12" s="342"/>
      <c r="C12" s="343"/>
      <c r="D12" s="343"/>
      <c r="E12" s="343"/>
      <c r="F12" s="343"/>
      <c r="G12" s="343"/>
      <c r="H12" s="343"/>
      <c r="I12" s="343"/>
      <c r="J12" s="343"/>
      <c r="K12" s="344"/>
    </row>
    <row r="13" spans="2:14" x14ac:dyDescent="0.3">
      <c r="B13" s="342"/>
      <c r="C13" s="343"/>
      <c r="D13" s="343"/>
      <c r="E13" s="343"/>
      <c r="F13" s="343"/>
      <c r="G13" s="343"/>
      <c r="H13" s="343"/>
      <c r="I13" s="343"/>
      <c r="J13" s="343"/>
      <c r="K13" s="344"/>
    </row>
    <row r="14" spans="2:14" x14ac:dyDescent="0.3">
      <c r="B14" s="342"/>
      <c r="C14" s="343"/>
      <c r="D14" s="343"/>
      <c r="E14" s="343"/>
      <c r="F14" s="343"/>
      <c r="G14" s="343"/>
      <c r="H14" s="343"/>
      <c r="I14" s="343"/>
      <c r="J14" s="343"/>
      <c r="K14" s="344"/>
    </row>
    <row r="15" spans="2:14" x14ac:dyDescent="0.3">
      <c r="B15" s="342"/>
      <c r="C15" s="343"/>
      <c r="D15" s="343"/>
      <c r="E15" s="343"/>
      <c r="F15" s="343"/>
      <c r="G15" s="343"/>
      <c r="H15" s="343"/>
      <c r="I15" s="343"/>
      <c r="J15" s="343"/>
      <c r="K15" s="344"/>
    </row>
    <row r="16" spans="2:14" x14ac:dyDescent="0.3">
      <c r="B16" s="342"/>
      <c r="C16" s="343"/>
      <c r="D16" s="343"/>
      <c r="E16" s="343"/>
      <c r="F16" s="343"/>
      <c r="G16" s="343"/>
      <c r="H16" s="343"/>
      <c r="I16" s="343"/>
      <c r="J16" s="343"/>
      <c r="K16" s="344"/>
      <c r="N16"/>
    </row>
    <row r="17" spans="2:14" x14ac:dyDescent="0.3">
      <c r="B17" s="342"/>
      <c r="C17" s="343"/>
      <c r="D17" s="343"/>
      <c r="E17" s="343"/>
      <c r="F17" s="343"/>
      <c r="G17" s="343"/>
      <c r="H17" s="343"/>
      <c r="I17" s="343"/>
      <c r="J17" s="343"/>
      <c r="K17" s="344"/>
      <c r="N17"/>
    </row>
    <row r="18" spans="2:14" x14ac:dyDescent="0.3">
      <c r="B18" s="342"/>
      <c r="C18" s="343"/>
      <c r="D18" s="343"/>
      <c r="E18" s="343"/>
      <c r="F18" s="343"/>
      <c r="G18" s="343"/>
      <c r="H18" s="343"/>
      <c r="I18" s="343"/>
      <c r="J18" s="343"/>
      <c r="K18" s="344"/>
    </row>
    <row r="19" spans="2:14" x14ac:dyDescent="0.3">
      <c r="B19" s="342"/>
      <c r="C19" s="343"/>
      <c r="D19" s="343"/>
      <c r="E19" s="343"/>
      <c r="F19" s="343"/>
      <c r="G19" s="343"/>
      <c r="H19" s="343"/>
      <c r="I19" s="343"/>
      <c r="J19" s="343"/>
      <c r="K19" s="344"/>
    </row>
    <row r="20" spans="2:14" x14ac:dyDescent="0.3">
      <c r="B20" s="342"/>
      <c r="C20" s="343"/>
      <c r="D20" s="343"/>
      <c r="E20" s="343"/>
      <c r="F20" s="343"/>
      <c r="G20" s="343"/>
      <c r="H20" s="343"/>
      <c r="I20" s="343"/>
      <c r="J20" s="343"/>
      <c r="K20" s="344"/>
    </row>
    <row r="21" spans="2:14" x14ac:dyDescent="0.3">
      <c r="B21" s="342"/>
      <c r="C21" s="343"/>
      <c r="D21" s="343"/>
      <c r="E21" s="343"/>
      <c r="F21" s="343"/>
      <c r="G21" s="343"/>
      <c r="H21" s="343"/>
      <c r="I21" s="343"/>
      <c r="J21" s="343"/>
      <c r="K21" s="344"/>
    </row>
    <row r="22" spans="2:14" x14ac:dyDescent="0.3">
      <c r="B22" s="342"/>
      <c r="C22" s="343"/>
      <c r="D22" s="343"/>
      <c r="E22" s="343"/>
      <c r="F22" s="343"/>
      <c r="G22" s="343"/>
      <c r="H22" s="343"/>
      <c r="I22" s="343"/>
      <c r="J22" s="343"/>
      <c r="K22" s="344"/>
    </row>
    <row r="23" spans="2:14" x14ac:dyDescent="0.3">
      <c r="B23" s="342"/>
      <c r="C23" s="343"/>
      <c r="D23" s="343"/>
      <c r="E23" s="343"/>
      <c r="F23" s="343"/>
      <c r="G23" s="343"/>
      <c r="H23" s="343"/>
      <c r="I23" s="343"/>
      <c r="J23" s="343"/>
      <c r="K23" s="344"/>
    </row>
    <row r="24" spans="2:14" x14ac:dyDescent="0.3">
      <c r="B24" s="342"/>
      <c r="C24" s="343"/>
      <c r="D24" s="343"/>
      <c r="E24" s="343"/>
      <c r="F24" s="343"/>
      <c r="G24" s="343"/>
      <c r="H24" s="343"/>
      <c r="I24" s="343"/>
      <c r="J24" s="343"/>
      <c r="K24" s="344"/>
    </row>
    <row r="25" spans="2:14" x14ac:dyDescent="0.3">
      <c r="B25" s="342"/>
      <c r="C25" s="343"/>
      <c r="D25" s="343"/>
      <c r="E25" s="343"/>
      <c r="F25" s="343"/>
      <c r="G25" s="343"/>
      <c r="H25" s="343"/>
      <c r="I25" s="343"/>
      <c r="J25" s="343"/>
      <c r="K25" s="344"/>
    </row>
    <row r="26" spans="2:14" x14ac:dyDescent="0.3">
      <c r="B26" s="342"/>
      <c r="C26" s="343"/>
      <c r="D26" s="343"/>
      <c r="E26" s="343"/>
      <c r="F26" s="343"/>
      <c r="G26" s="343"/>
      <c r="H26" s="343"/>
      <c r="I26" s="343"/>
      <c r="J26" s="343"/>
      <c r="K26" s="344"/>
    </row>
    <row r="27" spans="2:14" x14ac:dyDescent="0.3">
      <c r="B27" s="342"/>
      <c r="C27" s="343"/>
      <c r="D27" s="343"/>
      <c r="E27" s="343"/>
      <c r="F27" s="343"/>
      <c r="G27" s="343"/>
      <c r="H27" s="343"/>
      <c r="I27" s="343"/>
      <c r="J27" s="343"/>
      <c r="K27" s="344"/>
    </row>
    <row r="28" spans="2:14" x14ac:dyDescent="0.3">
      <c r="B28" s="342"/>
      <c r="C28" s="343"/>
      <c r="D28" s="343"/>
      <c r="E28" s="343"/>
      <c r="F28" s="343"/>
      <c r="G28" s="343"/>
      <c r="H28" s="343"/>
      <c r="I28" s="343"/>
      <c r="J28" s="343"/>
      <c r="K28" s="344"/>
    </row>
    <row r="29" spans="2:14" x14ac:dyDescent="0.3">
      <c r="B29" s="342"/>
      <c r="C29" s="343"/>
      <c r="D29" s="343"/>
      <c r="E29" s="343"/>
      <c r="F29" s="343"/>
      <c r="G29" s="343"/>
      <c r="H29" s="343"/>
      <c r="I29" s="343"/>
      <c r="J29" s="343"/>
      <c r="K29" s="344"/>
    </row>
    <row r="30" spans="2:14" x14ac:dyDescent="0.3">
      <c r="B30" s="342"/>
      <c r="C30" s="343"/>
      <c r="D30" s="343"/>
      <c r="E30" s="343"/>
      <c r="F30" s="343"/>
      <c r="G30" s="343"/>
      <c r="H30" s="343"/>
      <c r="I30" s="343"/>
      <c r="J30" s="343"/>
      <c r="K30" s="344"/>
    </row>
    <row r="31" spans="2:14" x14ac:dyDescent="0.3">
      <c r="B31" s="342"/>
      <c r="C31" s="343"/>
      <c r="D31" s="343"/>
      <c r="E31" s="343"/>
      <c r="F31" s="343"/>
      <c r="G31" s="343"/>
      <c r="H31" s="343"/>
      <c r="I31" s="343"/>
      <c r="J31" s="343"/>
      <c r="K31" s="344"/>
    </row>
    <row r="32" spans="2:14" x14ac:dyDescent="0.3">
      <c r="B32" s="342"/>
      <c r="C32" s="343"/>
      <c r="D32" s="343"/>
      <c r="E32" s="343"/>
      <c r="F32" s="343"/>
      <c r="G32" s="343"/>
      <c r="H32" s="343"/>
      <c r="I32" s="343"/>
      <c r="J32" s="343"/>
      <c r="K32" s="344"/>
    </row>
    <row r="33" spans="2:11" x14ac:dyDescent="0.3">
      <c r="B33" s="342"/>
      <c r="C33" s="343"/>
      <c r="D33" s="343"/>
      <c r="E33" s="343"/>
      <c r="F33" s="343"/>
      <c r="G33" s="343"/>
      <c r="H33" s="343"/>
      <c r="I33" s="343"/>
      <c r="J33" s="343"/>
      <c r="K33" s="344"/>
    </row>
    <row r="34" spans="2:11" x14ac:dyDescent="0.3">
      <c r="B34" s="342"/>
      <c r="C34" s="343"/>
      <c r="D34" s="343"/>
      <c r="E34" s="343"/>
      <c r="F34" s="343"/>
      <c r="G34" s="343"/>
      <c r="H34" s="343"/>
      <c r="I34" s="343"/>
      <c r="J34" s="343"/>
      <c r="K34" s="344"/>
    </row>
    <row r="35" spans="2:11" x14ac:dyDescent="0.3">
      <c r="B35" s="342"/>
      <c r="C35" s="343"/>
      <c r="D35" s="343"/>
      <c r="E35" s="343"/>
      <c r="F35" s="343"/>
      <c r="G35" s="343"/>
      <c r="H35" s="343"/>
      <c r="I35" s="343"/>
      <c r="J35" s="343"/>
      <c r="K35" s="344"/>
    </row>
    <row r="36" spans="2:11" ht="15" thickBot="1" x14ac:dyDescent="0.35">
      <c r="B36" s="345"/>
      <c r="C36" s="346"/>
      <c r="D36" s="346"/>
      <c r="E36" s="346"/>
      <c r="F36" s="346"/>
      <c r="G36" s="346"/>
      <c r="H36" s="346"/>
      <c r="I36" s="346"/>
      <c r="J36" s="346"/>
      <c r="K36" s="347"/>
    </row>
  </sheetData>
  <mergeCells count="1">
    <mergeCell ref="B2:K36"/>
  </mergeCells>
  <pageMargins left="0.70866141732283472" right="0.70866141732283472" top="0.74803149606299213" bottom="0.74803149606299213" header="0.31496062992125984" footer="0.31496062992125984"/>
  <pageSetup scale="8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sheetPr>
  <dimension ref="A1:AD77"/>
  <sheetViews>
    <sheetView view="pageBreakPreview" zoomScaleNormal="115" zoomScaleSheetLayoutView="100" workbookViewId="0">
      <pane xSplit="1" ySplit="6" topLeftCell="B53" activePane="bottomRight" state="frozen"/>
      <selection pane="topRight" activeCell="B1" sqref="B1"/>
      <selection pane="bottomLeft" activeCell="A7" sqref="A7"/>
      <selection pane="bottomRight" activeCell="K63" sqref="K63"/>
    </sheetView>
  </sheetViews>
  <sheetFormatPr defaultColWidth="8.88671875" defaultRowHeight="14.4" x14ac:dyDescent="0.3"/>
  <cols>
    <col min="1" max="1" width="55" style="13" bestFit="1" customWidth="1"/>
    <col min="2" max="10" width="10.44140625" style="13" bestFit="1" customWidth="1"/>
    <col min="11" max="12" width="10.44140625" style="13" customWidth="1"/>
    <col min="13" max="13" width="10.44140625" style="13" bestFit="1" customWidth="1"/>
    <col min="14" max="16384" width="8.88671875" style="13"/>
  </cols>
  <sheetData>
    <row r="1" spans="1:30" ht="28.8" x14ac:dyDescent="0.55000000000000004">
      <c r="A1" s="349" t="str">
        <f>(Inputs!E9 &amp;"  - Cost Analysis")</f>
        <v>Air Canada  - Cost Analysis</v>
      </c>
      <c r="B1" s="349"/>
      <c r="C1" s="349"/>
      <c r="D1" s="349"/>
      <c r="E1" s="349"/>
      <c r="F1" s="349"/>
      <c r="G1" s="349"/>
      <c r="H1" s="349"/>
      <c r="I1" s="349"/>
      <c r="J1" s="349"/>
      <c r="K1" s="349"/>
      <c r="L1" s="349"/>
      <c r="M1" s="349"/>
    </row>
    <row r="2" spans="1:30" x14ac:dyDescent="0.3">
      <c r="A2" s="3"/>
      <c r="B2" s="3" t="s">
        <v>11</v>
      </c>
      <c r="C2" s="3" t="s">
        <v>11</v>
      </c>
      <c r="D2" s="3" t="s">
        <v>11</v>
      </c>
      <c r="E2" s="3" t="s">
        <v>11</v>
      </c>
      <c r="F2" s="3" t="s">
        <v>11</v>
      </c>
      <c r="G2" s="3" t="s">
        <v>11</v>
      </c>
      <c r="H2" s="3" t="s">
        <v>11</v>
      </c>
      <c r="I2" s="3" t="s">
        <v>11</v>
      </c>
      <c r="J2" s="3" t="s">
        <v>11</v>
      </c>
      <c r="K2" s="3" t="s">
        <v>11</v>
      </c>
      <c r="L2" s="3" t="s">
        <v>11</v>
      </c>
      <c r="M2" s="3" t="s">
        <v>268</v>
      </c>
      <c r="N2" s="16"/>
      <c r="O2" s="16"/>
      <c r="P2" s="16"/>
      <c r="Q2" s="16"/>
      <c r="R2" s="16"/>
      <c r="S2" s="16"/>
      <c r="T2" s="16"/>
      <c r="U2" s="16"/>
      <c r="V2" s="16"/>
      <c r="W2" s="16"/>
      <c r="X2" s="16"/>
      <c r="Y2" s="16"/>
      <c r="Z2" s="16"/>
      <c r="AA2" s="16"/>
      <c r="AB2" s="16"/>
      <c r="AC2" s="16"/>
      <c r="AD2" s="16"/>
    </row>
    <row r="3" spans="1:30" x14ac:dyDescent="0.3">
      <c r="A3" s="3"/>
      <c r="B3" s="7">
        <f>'Revenue Analysis Reported'!B3</f>
        <v>40543</v>
      </c>
      <c r="C3" s="7">
        <f>'Revenue Analysis Reported'!C3</f>
        <v>40908</v>
      </c>
      <c r="D3" s="7">
        <f>'Revenue Analysis Reported'!D3</f>
        <v>41274</v>
      </c>
      <c r="E3" s="7">
        <f>'Revenue Analysis Reported'!E3</f>
        <v>41639</v>
      </c>
      <c r="F3" s="7">
        <f>'Revenue Analysis Reported'!F3</f>
        <v>42004</v>
      </c>
      <c r="G3" s="7">
        <f>'Revenue Analysis Reported'!G3</f>
        <v>42369</v>
      </c>
      <c r="H3" s="7">
        <f>'Revenue Analysis Reported'!H3</f>
        <v>42735</v>
      </c>
      <c r="I3" s="7">
        <f>'Revenue Analysis Reported'!I3</f>
        <v>43100</v>
      </c>
      <c r="J3" s="7">
        <f>'Revenue Analysis Reported'!J3</f>
        <v>43465</v>
      </c>
      <c r="K3" s="7">
        <f>'Revenue Analysis Reported'!K3</f>
        <v>43830</v>
      </c>
      <c r="L3" s="7">
        <f>'Revenue Analysis Reported'!L3</f>
        <v>44196</v>
      </c>
      <c r="M3" s="7">
        <f>'Revenue Analysis Reported'!M3</f>
        <v>44469</v>
      </c>
      <c r="N3" s="16"/>
      <c r="O3" s="16"/>
      <c r="P3" s="16"/>
      <c r="Q3" s="16"/>
      <c r="R3" s="16"/>
      <c r="S3" s="16"/>
      <c r="T3" s="16"/>
      <c r="U3" s="16"/>
      <c r="V3" s="16"/>
      <c r="W3" s="16"/>
      <c r="X3" s="16"/>
      <c r="Y3" s="16"/>
      <c r="Z3" s="16"/>
      <c r="AA3" s="16"/>
      <c r="AB3" s="16"/>
      <c r="AC3" s="16"/>
      <c r="AD3" s="16"/>
    </row>
    <row r="4" spans="1:30" x14ac:dyDescent="0.3">
      <c r="A4" s="3"/>
      <c r="B4" s="3" t="s">
        <v>1</v>
      </c>
      <c r="C4" s="3" t="s">
        <v>1</v>
      </c>
      <c r="D4" s="3" t="s">
        <v>1</v>
      </c>
      <c r="E4" s="3" t="s">
        <v>1</v>
      </c>
      <c r="F4" s="3" t="s">
        <v>1</v>
      </c>
      <c r="G4" s="3" t="s">
        <v>1</v>
      </c>
      <c r="H4" s="3" t="s">
        <v>1</v>
      </c>
      <c r="I4" s="3" t="s">
        <v>1</v>
      </c>
      <c r="J4" s="3" t="s">
        <v>1</v>
      </c>
      <c r="K4" s="3" t="s">
        <v>1</v>
      </c>
      <c r="L4" s="3" t="s">
        <v>1</v>
      </c>
      <c r="M4" s="3" t="s">
        <v>1</v>
      </c>
      <c r="N4" s="16"/>
      <c r="O4" s="16"/>
      <c r="P4" s="16"/>
      <c r="Q4" s="16"/>
      <c r="R4" s="16"/>
      <c r="S4" s="16"/>
      <c r="T4" s="16"/>
      <c r="U4" s="16"/>
      <c r="V4" s="16"/>
      <c r="W4" s="16"/>
      <c r="X4" s="16"/>
      <c r="Y4" s="16"/>
      <c r="Z4" s="16"/>
      <c r="AA4" s="16"/>
      <c r="AB4" s="16"/>
      <c r="AC4" s="16"/>
      <c r="AD4" s="16"/>
    </row>
    <row r="5" spans="1:30" x14ac:dyDescent="0.3">
      <c r="A5" s="3"/>
      <c r="B5" s="3" t="str">
        <f>Inputs!$E$18</f>
        <v>CAD</v>
      </c>
      <c r="C5" s="3" t="str">
        <f>Inputs!$E$18</f>
        <v>CAD</v>
      </c>
      <c r="D5" s="3" t="str">
        <f>Inputs!$E$18</f>
        <v>CAD</v>
      </c>
      <c r="E5" s="3" t="str">
        <f>Inputs!$E$18</f>
        <v>CAD</v>
      </c>
      <c r="F5" s="3" t="str">
        <f>Inputs!$E$18</f>
        <v>CAD</v>
      </c>
      <c r="G5" s="3" t="str">
        <f>Inputs!$E$18</f>
        <v>CAD</v>
      </c>
      <c r="H5" s="3" t="str">
        <f>Inputs!$E$18</f>
        <v>CAD</v>
      </c>
      <c r="I5" s="3" t="str">
        <f>Inputs!$E$18</f>
        <v>CAD</v>
      </c>
      <c r="J5" s="3" t="str">
        <f>Inputs!$E$18</f>
        <v>CAD</v>
      </c>
      <c r="K5" s="3" t="str">
        <f>Inputs!$E$18</f>
        <v>CAD</v>
      </c>
      <c r="L5" s="3" t="str">
        <f>Inputs!$E$18</f>
        <v>CAD</v>
      </c>
      <c r="M5" s="3" t="str">
        <f>Inputs!$E$18</f>
        <v>CAD</v>
      </c>
      <c r="N5" s="16"/>
      <c r="O5" s="16"/>
      <c r="P5" s="16"/>
      <c r="Q5" s="16"/>
      <c r="R5" s="16"/>
      <c r="S5" s="16"/>
      <c r="T5" s="16"/>
      <c r="U5" s="16"/>
      <c r="V5" s="16"/>
      <c r="W5" s="16"/>
      <c r="X5" s="16"/>
      <c r="Y5" s="16"/>
      <c r="Z5" s="16"/>
      <c r="AA5" s="16"/>
      <c r="AB5" s="16"/>
      <c r="AC5" s="16"/>
      <c r="AD5" s="16"/>
    </row>
    <row r="6" spans="1:30" x14ac:dyDescent="0.3">
      <c r="A6" s="3"/>
      <c r="B6" s="3"/>
      <c r="C6" s="3"/>
      <c r="D6" s="3"/>
      <c r="E6" s="3"/>
      <c r="F6" s="3"/>
      <c r="G6" s="3"/>
      <c r="H6" s="3"/>
      <c r="I6" s="3"/>
      <c r="J6" s="3"/>
      <c r="K6" s="3"/>
      <c r="L6" s="3"/>
      <c r="M6" s="3"/>
      <c r="N6" s="16"/>
      <c r="O6" s="16"/>
      <c r="P6" s="16"/>
      <c r="Q6" s="16"/>
      <c r="R6" s="16"/>
      <c r="S6" s="16"/>
      <c r="T6" s="16"/>
      <c r="U6" s="16"/>
      <c r="V6" s="16"/>
      <c r="W6" s="16"/>
      <c r="X6" s="16"/>
      <c r="Y6" s="16"/>
      <c r="Z6" s="16"/>
      <c r="AA6" s="16"/>
      <c r="AB6" s="16"/>
      <c r="AC6" s="16"/>
      <c r="AD6" s="16"/>
    </row>
    <row r="7" spans="1:30" x14ac:dyDescent="0.3">
      <c r="A7" s="3"/>
      <c r="B7" s="3"/>
      <c r="C7" s="3"/>
      <c r="D7" s="3"/>
      <c r="E7" s="3"/>
      <c r="F7" s="3"/>
      <c r="G7" s="3"/>
      <c r="H7" s="3"/>
      <c r="I7" s="3"/>
      <c r="J7" s="3"/>
      <c r="K7" s="3"/>
      <c r="L7" s="3"/>
      <c r="M7" s="3"/>
      <c r="N7" s="16"/>
      <c r="O7" s="16"/>
      <c r="P7" s="16"/>
      <c r="Q7" s="16"/>
      <c r="R7" s="16"/>
      <c r="S7" s="16"/>
      <c r="T7" s="16"/>
      <c r="U7" s="16"/>
      <c r="V7" s="16"/>
      <c r="W7" s="16"/>
      <c r="X7" s="16"/>
      <c r="Y7" s="16"/>
      <c r="Z7" s="16"/>
      <c r="AA7" s="16"/>
      <c r="AB7" s="16"/>
      <c r="AC7" s="16"/>
      <c r="AD7" s="16"/>
    </row>
    <row r="8" spans="1:30" x14ac:dyDescent="0.3">
      <c r="A8" s="8" t="s">
        <v>284</v>
      </c>
      <c r="B8" s="10"/>
      <c r="C8" s="10"/>
      <c r="D8" s="10"/>
      <c r="E8" s="10"/>
      <c r="F8" s="10"/>
      <c r="G8" s="10"/>
      <c r="H8" s="10"/>
      <c r="I8" s="10"/>
      <c r="J8" s="10"/>
      <c r="K8" s="10"/>
      <c r="L8" s="10"/>
      <c r="M8" s="10"/>
    </row>
    <row r="9" spans="1:30" x14ac:dyDescent="0.3">
      <c r="A9" s="64" t="s">
        <v>15</v>
      </c>
      <c r="B9" s="21">
        <f>-'Annual Inc Statement Reported'!B15</f>
        <v>1885</v>
      </c>
      <c r="C9" s="21">
        <f>-'Annual Inc Statement Reported'!C15</f>
        <v>1991</v>
      </c>
      <c r="D9" s="21">
        <f>-'Annual Inc Statement Reported'!D15</f>
        <v>1985</v>
      </c>
      <c r="E9" s="21">
        <f>-'Annual Inc Statement Reported'!E15</f>
        <v>2165</v>
      </c>
      <c r="F9" s="21">
        <f>-'Annual Inc Statement Reported'!F15</f>
        <v>2282</v>
      </c>
      <c r="G9" s="21">
        <f>-'Annual Inc Statement Reported'!G15</f>
        <v>2324</v>
      </c>
      <c r="H9" s="21">
        <f>-'Annual Inc Statement Reported'!H15</f>
        <v>2510</v>
      </c>
      <c r="I9" s="21">
        <f>-'Annual Inc Statement Reported'!I15</f>
        <v>2671</v>
      </c>
      <c r="J9" s="21">
        <f>-'Annual Inc Statement Reported'!J15</f>
        <v>2873</v>
      </c>
      <c r="K9" s="21">
        <f>-'Annual Inc Statement Reported'!K15</f>
        <v>3184</v>
      </c>
      <c r="L9" s="21">
        <f>-'Annual Inc Statement Reported'!L15</f>
        <v>1815</v>
      </c>
      <c r="M9" s="21">
        <f>-'Annual Inc Statement Reported'!M15</f>
        <v>1791</v>
      </c>
    </row>
    <row r="10" spans="1:30" x14ac:dyDescent="0.3">
      <c r="A10" s="64" t="s">
        <v>0</v>
      </c>
      <c r="B10" s="61">
        <f t="shared" ref="B10" si="0">IFERROR((B9/A9)-1,0)</f>
        <v>0</v>
      </c>
      <c r="C10" s="61">
        <f t="shared" ref="C10" si="1">IFERROR((C9/B9)-1,0)</f>
        <v>5.6233421750663037E-2</v>
      </c>
      <c r="D10" s="61">
        <f t="shared" ref="D10" si="2">IFERROR((D9/C9)-1,0)</f>
        <v>-3.0135610246107003E-3</v>
      </c>
      <c r="E10" s="61">
        <f t="shared" ref="E10" si="3">IFERROR((E9/D9)-1,0)</f>
        <v>9.0680100755667459E-2</v>
      </c>
      <c r="F10" s="61">
        <f t="shared" ref="F10" si="4">IFERROR((F9/E9)-1,0)</f>
        <v>5.4041570438799091E-2</v>
      </c>
      <c r="G10" s="61">
        <f t="shared" ref="G10" si="5">IFERROR((G9/F9)-1,0)</f>
        <v>1.8404907975460016E-2</v>
      </c>
      <c r="H10" s="61">
        <f t="shared" ref="H10" si="6">IFERROR((H9/G9)-1,0)</f>
        <v>8.0034423407917332E-2</v>
      </c>
      <c r="I10" s="61">
        <f t="shared" ref="I10" si="7">IFERROR((I9/H9)-1,0)</f>
        <v>6.4143426294820616E-2</v>
      </c>
      <c r="J10" s="61">
        <f t="shared" ref="J10" si="8">IFERROR((J9/I9)-1,0)</f>
        <v>7.5627105952826623E-2</v>
      </c>
      <c r="K10" s="61">
        <f t="shared" ref="K10" si="9">IFERROR((K9/J9)-1,0)</f>
        <v>0.10824921684650191</v>
      </c>
      <c r="L10" s="61">
        <f t="shared" ref="L10" si="10">IFERROR((L9/K9)-1,0)</f>
        <v>-0.42996231155778897</v>
      </c>
      <c r="M10" s="61">
        <f t="shared" ref="M10" si="11">IFERROR((M9/L9)-1,0)</f>
        <v>-1.3223140495867813E-2</v>
      </c>
    </row>
    <row r="11" spans="1:30" x14ac:dyDescent="0.3">
      <c r="A11" s="64" t="s">
        <v>16</v>
      </c>
      <c r="B11" s="21">
        <f>-'Annual Inc Statement Reported'!B16</f>
        <v>2652</v>
      </c>
      <c r="C11" s="21">
        <f>-'Annual Inc Statement Reported'!C16</f>
        <v>3375</v>
      </c>
      <c r="D11" s="21">
        <f>-'Annual Inc Statement Reported'!D16</f>
        <v>3561</v>
      </c>
      <c r="E11" s="21">
        <f>-'Annual Inc Statement Reported'!E16</f>
        <v>3534</v>
      </c>
      <c r="F11" s="21">
        <f>-'Annual Inc Statement Reported'!F16</f>
        <v>3747</v>
      </c>
      <c r="G11" s="21">
        <f>-'Annual Inc Statement Reported'!G16</f>
        <v>2464</v>
      </c>
      <c r="H11" s="21">
        <f>-'Annual Inc Statement Reported'!H16</f>
        <v>2279</v>
      </c>
      <c r="I11" s="21">
        <f>-'Annual Inc Statement Reported'!I16</f>
        <v>2927</v>
      </c>
      <c r="J11" s="21">
        <f>-'Annual Inc Statement Reported'!J16</f>
        <v>3969</v>
      </c>
      <c r="K11" s="21">
        <f>-'Annual Inc Statement Reported'!K16</f>
        <v>3862</v>
      </c>
      <c r="L11" s="21">
        <f>-'Annual Inc Statement Reported'!L16</f>
        <v>1322</v>
      </c>
      <c r="M11" s="21">
        <f>-'Annual Inc Statement Reported'!M16</f>
        <v>1098</v>
      </c>
    </row>
    <row r="12" spans="1:30" x14ac:dyDescent="0.3">
      <c r="A12" s="64" t="s">
        <v>0</v>
      </c>
      <c r="B12" s="61">
        <f t="shared" ref="B12" si="12">IFERROR((B11/A11)-1,0)</f>
        <v>0</v>
      </c>
      <c r="C12" s="61">
        <f t="shared" ref="C12" si="13">IFERROR((C11/B11)-1,0)</f>
        <v>0.27262443438914019</v>
      </c>
      <c r="D12" s="61">
        <f t="shared" ref="D12" si="14">IFERROR((D11/C11)-1,0)</f>
        <v>5.5111111111111111E-2</v>
      </c>
      <c r="E12" s="61">
        <f t="shared" ref="E12" si="15">IFERROR((E11/D11)-1,0)</f>
        <v>-7.5821398483572056E-3</v>
      </c>
      <c r="F12" s="61">
        <f t="shared" ref="F12" si="16">IFERROR((F11/E11)-1,0)</f>
        <v>6.027164685908315E-2</v>
      </c>
      <c r="G12" s="61">
        <f t="shared" ref="G12" si="17">IFERROR((G11/F11)-1,0)</f>
        <v>-0.34240725914064585</v>
      </c>
      <c r="H12" s="61">
        <f t="shared" ref="H12" si="18">IFERROR((H11/G11)-1,0)</f>
        <v>-7.5081168831168776E-2</v>
      </c>
      <c r="I12" s="61">
        <f t="shared" ref="I12" si="19">IFERROR((I11/H11)-1,0)</f>
        <v>0.28433523475208422</v>
      </c>
      <c r="J12" s="61">
        <f t="shared" ref="J12" si="20">IFERROR((J11/I11)-1,0)</f>
        <v>0.35599590023915262</v>
      </c>
      <c r="K12" s="61">
        <f t="shared" ref="K12" si="21">IFERROR((K11/J11)-1,0)</f>
        <v>-2.6958931720836521E-2</v>
      </c>
      <c r="L12" s="61">
        <f t="shared" ref="L12" si="22">IFERROR((L11/K11)-1,0)</f>
        <v>-0.65769031589849813</v>
      </c>
      <c r="M12" s="61">
        <f t="shared" ref="M12" si="23">IFERROR((M11/L11)-1,0)</f>
        <v>-0.16944024205748864</v>
      </c>
    </row>
    <row r="13" spans="1:30" x14ac:dyDescent="0.3">
      <c r="A13" s="64" t="s">
        <v>17</v>
      </c>
      <c r="B13" s="12">
        <f>-'Annual Inc Statement Reported'!B17</f>
        <v>677</v>
      </c>
      <c r="C13" s="12">
        <f>-'Annual Inc Statement Reported'!C17</f>
        <v>681</v>
      </c>
      <c r="D13" s="12">
        <f>-'Annual Inc Statement Reported'!D17</f>
        <v>672</v>
      </c>
      <c r="E13" s="12">
        <f>-'Annual Inc Statement Reported'!E17</f>
        <v>632</v>
      </c>
      <c r="F13" s="12">
        <f>-'Annual Inc Statement Reported'!F17</f>
        <v>728</v>
      </c>
      <c r="G13" s="12">
        <f>-'Annual Inc Statement Reported'!G17</f>
        <v>773</v>
      </c>
      <c r="H13" s="12">
        <f>-'Annual Inc Statement Reported'!H17</f>
        <v>880</v>
      </c>
      <c r="I13" s="12">
        <f>-'Annual Inc Statement Reported'!I17</f>
        <v>938</v>
      </c>
      <c r="J13" s="12">
        <f>-'Annual Inc Statement Reported'!J17</f>
        <v>903</v>
      </c>
      <c r="K13" s="12">
        <f>-'Annual Inc Statement Reported'!K17</f>
        <v>1004</v>
      </c>
      <c r="L13" s="12">
        <f>-'Annual Inc Statement Reported'!L17</f>
        <v>681</v>
      </c>
      <c r="M13" s="12">
        <f>-'Annual Inc Statement Reported'!M17</f>
        <v>615</v>
      </c>
    </row>
    <row r="14" spans="1:30" x14ac:dyDescent="0.3">
      <c r="A14" s="64" t="s">
        <v>0</v>
      </c>
      <c r="B14" s="61">
        <f t="shared" ref="B14" si="24">IFERROR((B13/A13)-1,0)</f>
        <v>0</v>
      </c>
      <c r="C14" s="61">
        <f t="shared" ref="C14" si="25">IFERROR((C13/B13)-1,0)</f>
        <v>5.9084194977843119E-3</v>
      </c>
      <c r="D14" s="61">
        <f t="shared" ref="D14" si="26">IFERROR((D13/C13)-1,0)</f>
        <v>-1.3215859030836996E-2</v>
      </c>
      <c r="E14" s="61">
        <f t="shared" ref="E14" si="27">IFERROR((E13/D13)-1,0)</f>
        <v>-5.9523809523809534E-2</v>
      </c>
      <c r="F14" s="61">
        <f t="shared" ref="F14" si="28">IFERROR((F13/E13)-1,0)</f>
        <v>0.15189873417721511</v>
      </c>
      <c r="G14" s="61">
        <f t="shared" ref="G14" si="29">IFERROR((G13/F13)-1,0)</f>
        <v>6.1813186813186816E-2</v>
      </c>
      <c r="H14" s="61">
        <f t="shared" ref="H14" si="30">IFERROR((H13/G13)-1,0)</f>
        <v>0.13842173350582154</v>
      </c>
      <c r="I14" s="61">
        <f t="shared" ref="I14" si="31">IFERROR((I13/H13)-1,0)</f>
        <v>6.5909090909090917E-2</v>
      </c>
      <c r="J14" s="61">
        <f t="shared" ref="J14" si="32">IFERROR((J13/I13)-1,0)</f>
        <v>-3.7313432835820892E-2</v>
      </c>
      <c r="K14" s="61">
        <f t="shared" ref="K14" si="33">IFERROR((K13/J13)-1,0)</f>
        <v>0.11184939091915846</v>
      </c>
      <c r="L14" s="61">
        <f t="shared" ref="L14" si="34">IFERROR((L13/K13)-1,0)</f>
        <v>-0.32171314741035861</v>
      </c>
      <c r="M14" s="61">
        <f t="shared" ref="M14" si="35">IFERROR((M13/L13)-1,0)</f>
        <v>-9.6916299559471342E-2</v>
      </c>
    </row>
    <row r="15" spans="1:30" x14ac:dyDescent="0.3">
      <c r="A15" s="64" t="s">
        <v>18</v>
      </c>
      <c r="B15" s="12">
        <f>-'Annual Inc Statement Reported'!B18</f>
        <v>1557</v>
      </c>
      <c r="C15" s="12">
        <f>-'Annual Inc Statement Reported'!C18</f>
        <v>1478</v>
      </c>
      <c r="D15" s="12">
        <f>-'Annual Inc Statement Reported'!D18</f>
        <v>1471</v>
      </c>
      <c r="E15" s="12">
        <f>-'Annual Inc Statement Reported'!E18</f>
        <v>1599</v>
      </c>
      <c r="F15" s="12">
        <f>-'Annual Inc Statement Reported'!F18</f>
        <v>1717</v>
      </c>
      <c r="G15" s="12">
        <f>-'Annual Inc Statement Reported'!G18</f>
        <v>1531</v>
      </c>
      <c r="H15" s="12">
        <f>-'Annual Inc Statement Reported'!H18</f>
        <v>1697</v>
      </c>
      <c r="I15" s="12">
        <f>-'Annual Inc Statement Reported'!I18</f>
        <v>1826</v>
      </c>
      <c r="J15" s="12">
        <f>-'Annual Inc Statement Reported'!J18</f>
        <v>1999</v>
      </c>
      <c r="K15" s="12">
        <f>-'Annual Inc Statement Reported'!K18</f>
        <v>2062</v>
      </c>
      <c r="L15" s="12">
        <f>-'Annual Inc Statement Reported'!L18</f>
        <v>966</v>
      </c>
      <c r="M15" s="12">
        <f>-'Annual Inc Statement Reported'!M18</f>
        <v>508</v>
      </c>
    </row>
    <row r="16" spans="1:30" x14ac:dyDescent="0.3">
      <c r="A16" s="64" t="s">
        <v>0</v>
      </c>
      <c r="B16" s="61">
        <f t="shared" ref="B16" si="36">IFERROR((B15/A15)-1,0)</f>
        <v>0</v>
      </c>
      <c r="C16" s="61">
        <f t="shared" ref="C16" si="37">IFERROR((C15/B15)-1,0)</f>
        <v>-5.0738599871547829E-2</v>
      </c>
      <c r="D16" s="61">
        <f t="shared" ref="D16" si="38">IFERROR((D15/C15)-1,0)</f>
        <v>-4.7361299052773864E-3</v>
      </c>
      <c r="E16" s="61">
        <f t="shared" ref="E16" si="39">IFERROR((E15/D15)-1,0)</f>
        <v>8.7015635622025744E-2</v>
      </c>
      <c r="F16" s="61">
        <f t="shared" ref="F16" si="40">IFERROR((F15/E15)-1,0)</f>
        <v>7.379612257661039E-2</v>
      </c>
      <c r="G16" s="61">
        <f t="shared" ref="G16" si="41">IFERROR((G15/F15)-1,0)</f>
        <v>-0.10832847990681416</v>
      </c>
      <c r="H16" s="61">
        <f t="shared" ref="H16" si="42">IFERROR((H15/G15)-1,0)</f>
        <v>0.10842586544741994</v>
      </c>
      <c r="I16" s="61">
        <f t="shared" ref="I16" si="43">IFERROR((I15/H15)-1,0)</f>
        <v>7.6016499705362506E-2</v>
      </c>
      <c r="J16" s="61">
        <f t="shared" ref="J16" si="44">IFERROR((J15/I15)-1,0)</f>
        <v>9.4742606790799488E-2</v>
      </c>
      <c r="K16" s="61">
        <f t="shared" ref="K16" si="45">IFERROR((K15/J15)-1,0)</f>
        <v>3.1515757878939565E-2</v>
      </c>
      <c r="L16" s="61">
        <f t="shared" ref="L16" si="46">IFERROR((L15/K15)-1,0)</f>
        <v>-0.53152279340446174</v>
      </c>
      <c r="M16" s="61">
        <f t="shared" ref="M16" si="47">IFERROR((M15/L15)-1,0)</f>
        <v>-0.47412008281573503</v>
      </c>
    </row>
    <row r="17" spans="1:13" x14ac:dyDescent="0.3">
      <c r="A17" s="64" t="s">
        <v>19</v>
      </c>
      <c r="B17" s="12">
        <f>-'Annual Inc Statement Reported'!B19</f>
        <v>259</v>
      </c>
      <c r="C17" s="12">
        <f>-'Annual Inc Statement Reported'!C19</f>
        <v>612</v>
      </c>
      <c r="D17" s="12">
        <f>-'Annual Inc Statement Reported'!D19</f>
        <v>603</v>
      </c>
      <c r="E17" s="12">
        <f>-'Annual Inc Statement Reported'!E19</f>
        <v>613</v>
      </c>
      <c r="F17" s="12">
        <f>-'Annual Inc Statement Reported'!F19</f>
        <v>672</v>
      </c>
      <c r="G17" s="12">
        <f>-'Annual Inc Statement Reported'!G19</f>
        <v>608</v>
      </c>
      <c r="H17" s="12">
        <f>-'Annual Inc Statement Reported'!H19</f>
        <v>703</v>
      </c>
      <c r="I17" s="12">
        <f>-'Annual Inc Statement Reported'!I19</f>
        <v>777</v>
      </c>
      <c r="J17" s="12">
        <f>-'Annual Inc Statement Reported'!J19</f>
        <v>807</v>
      </c>
      <c r="K17" s="12">
        <f>-'Annual Inc Statement Reported'!K19</f>
        <v>874</v>
      </c>
      <c r="L17" s="12">
        <f>-'Annual Inc Statement Reported'!L19</f>
        <v>252</v>
      </c>
      <c r="M17" s="12">
        <f>-'Annual Inc Statement Reported'!M19</f>
        <v>168</v>
      </c>
    </row>
    <row r="18" spans="1:13" x14ac:dyDescent="0.3">
      <c r="A18" s="64" t="s">
        <v>0</v>
      </c>
      <c r="B18" s="61">
        <f t="shared" ref="B18" si="48">IFERROR((B17/A17)-1,0)</f>
        <v>0</v>
      </c>
      <c r="C18" s="61">
        <f t="shared" ref="C18" si="49">IFERROR((C17/B17)-1,0)</f>
        <v>1.3629343629343631</v>
      </c>
      <c r="D18" s="61">
        <f t="shared" ref="D18" si="50">IFERROR((D17/C17)-1,0)</f>
        <v>-1.4705882352941124E-2</v>
      </c>
      <c r="E18" s="61">
        <f t="shared" ref="E18" si="51">IFERROR((E17/D17)-1,0)</f>
        <v>1.6583747927031434E-2</v>
      </c>
      <c r="F18" s="61">
        <f t="shared" ref="F18" si="52">IFERROR((F17/E17)-1,0)</f>
        <v>9.6247960848287128E-2</v>
      </c>
      <c r="G18" s="61">
        <f t="shared" ref="G18" si="53">IFERROR((G17/F17)-1,0)</f>
        <v>-9.5238095238095233E-2</v>
      </c>
      <c r="H18" s="61">
        <f t="shared" ref="H18" si="54">IFERROR((H17/G17)-1,0)</f>
        <v>0.15625</v>
      </c>
      <c r="I18" s="61">
        <f t="shared" ref="I18" si="55">IFERROR((I17/H17)-1,0)</f>
        <v>0.10526315789473695</v>
      </c>
      <c r="J18" s="61">
        <f t="shared" ref="J18" si="56">IFERROR((J17/I17)-1,0)</f>
        <v>3.8610038610038533E-2</v>
      </c>
      <c r="K18" s="61">
        <f t="shared" ref="K18" si="57">IFERROR((K17/J17)-1,0)</f>
        <v>8.3023543990086823E-2</v>
      </c>
      <c r="L18" s="61">
        <f t="shared" ref="L18" si="58">IFERROR((L17/K17)-1,0)</f>
        <v>-0.71167048054919912</v>
      </c>
      <c r="M18" s="61">
        <f t="shared" ref="M18" si="59">IFERROR((M17/L17)-1,0)</f>
        <v>-0.33333333333333337</v>
      </c>
    </row>
    <row r="19" spans="1:13" x14ac:dyDescent="0.3">
      <c r="A19" s="64" t="s">
        <v>20</v>
      </c>
      <c r="B19" s="12">
        <f>-'Annual Inc Statement Reported'!B20</f>
        <v>2370</v>
      </c>
      <c r="C19" s="12">
        <f>-'Annual Inc Statement Reported'!C20</f>
        <v>2233</v>
      </c>
      <c r="D19" s="12">
        <f>-'Annual Inc Statement Reported'!D20</f>
        <v>2377</v>
      </c>
      <c r="E19" s="12">
        <f>-'Annual Inc Statement Reported'!E20</f>
        <v>2324</v>
      </c>
      <c r="F19" s="12">
        <f>-'Annual Inc Statement Reported'!F20</f>
        <v>2455</v>
      </c>
      <c r="G19" s="12">
        <f>-'Annual Inc Statement Reported'!G20</f>
        <v>3656</v>
      </c>
      <c r="H19" s="12">
        <f>-'Annual Inc Statement Reported'!H20</f>
        <v>3894</v>
      </c>
      <c r="I19" s="12">
        <f>-'Annual Inc Statement Reported'!I20</f>
        <v>4260</v>
      </c>
      <c r="J19" s="12">
        <f>-'Annual Inc Statement Reported'!J20</f>
        <v>4239</v>
      </c>
      <c r="K19" s="12">
        <f>-'Annual Inc Statement Reported'!K20</f>
        <v>4509</v>
      </c>
      <c r="L19" s="12">
        <f>-'Annual Inc Statement Reported'!L20</f>
        <v>2413</v>
      </c>
      <c r="M19" s="12">
        <f>-'Annual Inc Statement Reported'!M20</f>
        <v>2211</v>
      </c>
    </row>
    <row r="20" spans="1:13" x14ac:dyDescent="0.3">
      <c r="A20" s="64" t="s">
        <v>0</v>
      </c>
      <c r="B20" s="61">
        <f t="shared" ref="B20" si="60">IFERROR((B19/A19)-1,0)</f>
        <v>0</v>
      </c>
      <c r="C20" s="61">
        <f t="shared" ref="C20" si="61">IFERROR((C19/B19)-1,0)</f>
        <v>-5.780590717299583E-2</v>
      </c>
      <c r="D20" s="61">
        <f t="shared" ref="D20" si="62">IFERROR((D19/C19)-1,0)</f>
        <v>6.4487236901030087E-2</v>
      </c>
      <c r="E20" s="61">
        <f t="shared" ref="E20" si="63">IFERROR((E19/D19)-1,0)</f>
        <v>-2.2297013041649105E-2</v>
      </c>
      <c r="F20" s="61">
        <f t="shared" ref="F20" si="64">IFERROR((F19/E19)-1,0)</f>
        <v>5.636833046471601E-2</v>
      </c>
      <c r="G20" s="61">
        <f t="shared" ref="G20" si="65">IFERROR((G19/F19)-1,0)</f>
        <v>0.48920570264765795</v>
      </c>
      <c r="H20" s="61">
        <f t="shared" ref="H20" si="66">IFERROR((H19/G19)-1,0)</f>
        <v>6.5098468271334697E-2</v>
      </c>
      <c r="I20" s="61">
        <f t="shared" ref="I20" si="67">IFERROR((I19/H19)-1,0)</f>
        <v>9.3990755007704152E-2</v>
      </c>
      <c r="J20" s="61">
        <f t="shared" ref="J20" si="68">IFERROR((J19/I19)-1,0)</f>
        <v>-4.9295774647887258E-3</v>
      </c>
      <c r="K20" s="61">
        <f t="shared" ref="K20" si="69">IFERROR((K19/J19)-1,0)</f>
        <v>6.3694267515923553E-2</v>
      </c>
      <c r="L20" s="61">
        <f t="shared" ref="L20" si="70">IFERROR((L19/K19)-1,0)</f>
        <v>-0.46484808161454871</v>
      </c>
      <c r="M20" s="61">
        <f t="shared" ref="M20" si="71">IFERROR((M19/L19)-1,0)</f>
        <v>-8.3713220058019067E-2</v>
      </c>
    </row>
    <row r="21" spans="1:13" x14ac:dyDescent="0.3">
      <c r="A21" s="64" t="s">
        <v>21</v>
      </c>
      <c r="B21" s="12">
        <f>-'Annual Inc Statement Reported'!B21</f>
        <v>0</v>
      </c>
      <c r="C21" s="12">
        <f>-'Annual Inc Statement Reported'!C21</f>
        <v>0</v>
      </c>
      <c r="D21" s="12">
        <f>-'Annual Inc Statement Reported'!D21</f>
        <v>0</v>
      </c>
      <c r="E21" s="12">
        <f>-'Annual Inc Statement Reported'!E21</f>
        <v>0</v>
      </c>
      <c r="F21" s="12">
        <f>-'Annual Inc Statement Reported'!F21</f>
        <v>0</v>
      </c>
      <c r="G21" s="12">
        <f>-'Annual Inc Statement Reported'!G21</f>
        <v>0</v>
      </c>
      <c r="H21" s="12">
        <f>-'Annual Inc Statement Reported'!H21</f>
        <v>0</v>
      </c>
      <c r="I21" s="12">
        <f>-'Annual Inc Statement Reported'!I21</f>
        <v>0</v>
      </c>
      <c r="J21" s="12">
        <f>-'Annual Inc Statement Reported'!J21</f>
        <v>0</v>
      </c>
      <c r="K21" s="12">
        <f>-'Annual Inc Statement Reported'!K21</f>
        <v>0</v>
      </c>
      <c r="L21" s="12">
        <f>-'Annual Inc Statement Reported'!L21</f>
        <v>0</v>
      </c>
      <c r="M21" s="12">
        <f>-'Annual Inc Statement Reported'!M21</f>
        <v>0</v>
      </c>
    </row>
    <row r="22" spans="1:13" x14ac:dyDescent="0.3">
      <c r="A22" s="64" t="s">
        <v>0</v>
      </c>
      <c r="B22" s="61">
        <f t="shared" ref="B22" si="72">IFERROR((B21/A21)-1,0)</f>
        <v>0</v>
      </c>
      <c r="C22" s="61">
        <f t="shared" ref="C22" si="73">IFERROR((C21/B21)-1,0)</f>
        <v>0</v>
      </c>
      <c r="D22" s="61">
        <f t="shared" ref="D22" si="74">IFERROR((D21/C21)-1,0)</f>
        <v>0</v>
      </c>
      <c r="E22" s="61">
        <f t="shared" ref="E22" si="75">IFERROR((E21/D21)-1,0)</f>
        <v>0</v>
      </c>
      <c r="F22" s="61">
        <f t="shared" ref="F22" si="76">IFERROR((F21/E21)-1,0)</f>
        <v>0</v>
      </c>
      <c r="G22" s="61">
        <f t="shared" ref="G22" si="77">IFERROR((G21/F21)-1,0)</f>
        <v>0</v>
      </c>
      <c r="H22" s="61">
        <f t="shared" ref="H22" si="78">IFERROR((H21/G21)-1,0)</f>
        <v>0</v>
      </c>
      <c r="I22" s="61">
        <f t="shared" ref="I22" si="79">IFERROR((I21/H21)-1,0)</f>
        <v>0</v>
      </c>
      <c r="J22" s="61">
        <f t="shared" ref="J22" si="80">IFERROR((J21/I21)-1,0)</f>
        <v>0</v>
      </c>
      <c r="K22" s="61">
        <f t="shared" ref="K22" si="81">IFERROR((K21/J21)-1,0)</f>
        <v>0</v>
      </c>
      <c r="L22" s="61">
        <f t="shared" ref="L22" si="82">IFERROR((L21/K21)-1,0)</f>
        <v>0</v>
      </c>
      <c r="M22" s="61">
        <f t="shared" ref="M22" si="83">IFERROR((M21/L21)-1,0)</f>
        <v>0</v>
      </c>
    </row>
    <row r="23" spans="1:13" x14ac:dyDescent="0.3">
      <c r="A23" s="64" t="s">
        <v>22</v>
      </c>
      <c r="B23" s="12">
        <f>-'Annual Inc Statement Reported'!B22</f>
        <v>934</v>
      </c>
      <c r="C23" s="12">
        <f>-'Annual Inc Statement Reported'!C22</f>
        <v>1003</v>
      </c>
      <c r="D23" s="12">
        <f>-'Annual Inc Statement Reported'!D22</f>
        <v>1072</v>
      </c>
      <c r="E23" s="12">
        <f>-'Annual Inc Statement Reported'!E22</f>
        <v>1123</v>
      </c>
      <c r="F23" s="12">
        <f>-'Annual Inc Statement Reported'!F22</f>
        <v>1182</v>
      </c>
      <c r="G23" s="12">
        <f>-'Annual Inc Statement Reported'!G22</f>
        <v>2279</v>
      </c>
      <c r="H23" s="12">
        <f>-'Annual Inc Statement Reported'!H22</f>
        <v>2408</v>
      </c>
      <c r="I23" s="12">
        <f>-'Annual Inc Statement Reported'!I22</f>
        <v>2617</v>
      </c>
      <c r="J23" s="12">
        <f>-'Annual Inc Statement Reported'!J22</f>
        <v>2508</v>
      </c>
      <c r="K23" s="12">
        <f>-'Annual Inc Statement Reported'!K22</f>
        <v>2441</v>
      </c>
      <c r="L23" s="12">
        <f>-'Annual Inc Statement Reported'!L22</f>
        <v>1086</v>
      </c>
      <c r="M23" s="12">
        <f>-'Annual Inc Statement Reported'!M22</f>
        <v>945</v>
      </c>
    </row>
    <row r="24" spans="1:13" x14ac:dyDescent="0.3">
      <c r="A24" s="64" t="s">
        <v>0</v>
      </c>
      <c r="B24" s="61">
        <f t="shared" ref="B24" si="84">IFERROR((B23/A23)-1,0)</f>
        <v>0</v>
      </c>
      <c r="C24" s="61">
        <f t="shared" ref="C24" si="85">IFERROR((C23/B23)-1,0)</f>
        <v>7.3875802997858564E-2</v>
      </c>
      <c r="D24" s="61">
        <f t="shared" ref="D24" si="86">IFERROR((D23/C23)-1,0)</f>
        <v>6.8793619142572204E-2</v>
      </c>
      <c r="E24" s="61">
        <f t="shared" ref="E24" si="87">IFERROR((E23/D23)-1,0)</f>
        <v>4.7574626865671599E-2</v>
      </c>
      <c r="F24" s="61">
        <f t="shared" ref="F24" si="88">IFERROR((F23/E23)-1,0)</f>
        <v>5.2537845057880617E-2</v>
      </c>
      <c r="G24" s="61">
        <f t="shared" ref="G24" si="89">IFERROR((G23/F23)-1,0)</f>
        <v>0.9280879864636209</v>
      </c>
      <c r="H24" s="61">
        <f t="shared" ref="H24" si="90">IFERROR((H23/G23)-1,0)</f>
        <v>5.6603773584905648E-2</v>
      </c>
      <c r="I24" s="61">
        <f t="shared" ref="I24" si="91">IFERROR((I23/H23)-1,0)</f>
        <v>8.6794019933554845E-2</v>
      </c>
      <c r="J24" s="61">
        <f t="shared" ref="J24" si="92">IFERROR((J23/I23)-1,0)</f>
        <v>-4.1650745128009148E-2</v>
      </c>
      <c r="K24" s="61">
        <f t="shared" ref="K24" si="93">IFERROR((K23/J23)-1,0)</f>
        <v>-2.6714513556618802E-2</v>
      </c>
      <c r="L24" s="61">
        <f t="shared" ref="L24" si="94">IFERROR((L23/K23)-1,0)</f>
        <v>-0.55510036870135193</v>
      </c>
      <c r="M24" s="61">
        <f t="shared" ref="M24" si="95">IFERROR((M23/L23)-1,0)</f>
        <v>-0.12983425414364635</v>
      </c>
    </row>
    <row r="25" spans="1:13" x14ac:dyDescent="0.3">
      <c r="A25" s="64" t="s">
        <v>23</v>
      </c>
      <c r="B25" s="12">
        <f>-'Annual Inc Statement Reported'!B23</f>
        <v>1436</v>
      </c>
      <c r="C25" s="12">
        <f>-'Annual Inc Statement Reported'!C23</f>
        <v>1230</v>
      </c>
      <c r="D25" s="12">
        <f>-'Annual Inc Statement Reported'!D23</f>
        <v>1305</v>
      </c>
      <c r="E25" s="12">
        <f>-'Annual Inc Statement Reported'!E23</f>
        <v>1201</v>
      </c>
      <c r="F25" s="12">
        <f>-'Annual Inc Statement Reported'!F23</f>
        <v>1273</v>
      </c>
      <c r="G25" s="12">
        <f>-'Annual Inc Statement Reported'!G23</f>
        <v>1377</v>
      </c>
      <c r="H25" s="12">
        <f>-'Annual Inc Statement Reported'!H23</f>
        <v>1486</v>
      </c>
      <c r="I25" s="12">
        <f>-'Annual Inc Statement Reported'!I23</f>
        <v>1643</v>
      </c>
      <c r="J25" s="12">
        <f>-'Annual Inc Statement Reported'!J23</f>
        <v>1731</v>
      </c>
      <c r="K25" s="12">
        <f>-'Annual Inc Statement Reported'!K23</f>
        <v>2068</v>
      </c>
      <c r="L25" s="12">
        <f>-'Annual Inc Statement Reported'!L23</f>
        <v>1327</v>
      </c>
      <c r="M25" s="12">
        <f>-'Annual Inc Statement Reported'!M23</f>
        <v>1266</v>
      </c>
    </row>
    <row r="26" spans="1:13" x14ac:dyDescent="0.3">
      <c r="A26" s="64" t="s">
        <v>0</v>
      </c>
      <c r="B26" s="61">
        <f t="shared" ref="B26" si="96">IFERROR((B25/A25)-1,0)</f>
        <v>0</v>
      </c>
      <c r="C26" s="61">
        <f t="shared" ref="C26" si="97">IFERROR((C25/B25)-1,0)</f>
        <v>-0.14345403899721454</v>
      </c>
      <c r="D26" s="61">
        <f t="shared" ref="D26" si="98">IFERROR((D25/C25)-1,0)</f>
        <v>6.0975609756097615E-2</v>
      </c>
      <c r="E26" s="61">
        <f t="shared" ref="E26" si="99">IFERROR((E25/D25)-1,0)</f>
        <v>-7.9693486590038276E-2</v>
      </c>
      <c r="F26" s="61">
        <f t="shared" ref="F26" si="100">IFERROR((F25/E25)-1,0)</f>
        <v>5.9950041631973372E-2</v>
      </c>
      <c r="G26" s="61">
        <f t="shared" ref="G26" si="101">IFERROR((G25/F25)-1,0)</f>
        <v>8.1696779261586805E-2</v>
      </c>
      <c r="H26" s="61">
        <f t="shared" ref="H26" si="102">IFERROR((H25/G25)-1,0)</f>
        <v>7.9157588961510594E-2</v>
      </c>
      <c r="I26" s="61">
        <f t="shared" ref="I26" si="103">IFERROR((I25/H25)-1,0)</f>
        <v>0.10565275908479133</v>
      </c>
      <c r="J26" s="61">
        <f t="shared" ref="J26" si="104">IFERROR((J25/I25)-1,0)</f>
        <v>5.3560559951308484E-2</v>
      </c>
      <c r="K26" s="61">
        <f t="shared" ref="K26" si="105">IFERROR((K25/J25)-1,0)</f>
        <v>0.194685153090699</v>
      </c>
      <c r="L26" s="61">
        <f t="shared" ref="L26" si="106">IFERROR((L25/K25)-1,0)</f>
        <v>-0.3583172147001934</v>
      </c>
      <c r="M26" s="61">
        <f t="shared" ref="M26" si="107">IFERROR((M25/L25)-1,0)</f>
        <v>-4.5968349660889252E-2</v>
      </c>
    </row>
    <row r="27" spans="1:13" x14ac:dyDescent="0.3">
      <c r="A27" s="64" t="s">
        <v>26</v>
      </c>
      <c r="B27" s="12">
        <f>-'Annual Inc Statement Reported'!B27</f>
        <v>346</v>
      </c>
      <c r="C27" s="12">
        <f>-'Annual Inc Statement Reported'!C27</f>
        <v>335</v>
      </c>
      <c r="D27" s="12">
        <f>-'Annual Inc Statement Reported'!D27</f>
        <v>336</v>
      </c>
      <c r="E27" s="12">
        <f>-'Annual Inc Statement Reported'!E27</f>
        <v>318</v>
      </c>
      <c r="F27" s="12">
        <f>-'Annual Inc Statement Reported'!F27</f>
        <v>313</v>
      </c>
      <c r="G27" s="12">
        <f>-'Annual Inc Statement Reported'!G27</f>
        <v>353</v>
      </c>
      <c r="H27" s="12">
        <f>-'Annual Inc Statement Reported'!H27</f>
        <v>462</v>
      </c>
      <c r="I27" s="12">
        <f>-'Annual Inc Statement Reported'!I27</f>
        <v>503</v>
      </c>
      <c r="J27" s="12">
        <f>-'Annual Inc Statement Reported'!J27</f>
        <v>0</v>
      </c>
      <c r="K27" s="12">
        <f>-'Annual Inc Statement Reported'!K27</f>
        <v>0</v>
      </c>
      <c r="L27" s="12">
        <f>-'Annual Inc Statement Reported'!L27</f>
        <v>0</v>
      </c>
      <c r="M27" s="12">
        <f>-'Annual Inc Statement Reported'!M27</f>
        <v>0</v>
      </c>
    </row>
    <row r="28" spans="1:13" x14ac:dyDescent="0.3">
      <c r="A28" s="64" t="s">
        <v>0</v>
      </c>
      <c r="B28" s="61">
        <f t="shared" ref="B28" si="108">IFERROR((B27/A27)-1,0)</f>
        <v>0</v>
      </c>
      <c r="C28" s="61">
        <f t="shared" ref="C28" si="109">IFERROR((C27/B27)-1,0)</f>
        <v>-3.1791907514450823E-2</v>
      </c>
      <c r="D28" s="61">
        <f t="shared" ref="D28" si="110">IFERROR((D27/C27)-1,0)</f>
        <v>2.9850746268655914E-3</v>
      </c>
      <c r="E28" s="61">
        <f t="shared" ref="E28" si="111">IFERROR((E27/D27)-1,0)</f>
        <v>-5.3571428571428603E-2</v>
      </c>
      <c r="F28" s="61">
        <f t="shared" ref="F28" si="112">IFERROR((F27/E27)-1,0)</f>
        <v>-1.5723270440251569E-2</v>
      </c>
      <c r="G28" s="61">
        <f t="shared" ref="G28" si="113">IFERROR((G27/F27)-1,0)</f>
        <v>0.12779552715654963</v>
      </c>
      <c r="H28" s="61">
        <f t="shared" ref="H28" si="114">IFERROR((H27/G27)-1,0)</f>
        <v>0.30878186968838528</v>
      </c>
      <c r="I28" s="61">
        <f t="shared" ref="I28" si="115">IFERROR((I27/H27)-1,0)</f>
        <v>8.8744588744588793E-2</v>
      </c>
      <c r="J28" s="61">
        <f t="shared" ref="J28" si="116">IFERROR((J27/I27)-1,0)</f>
        <v>-1</v>
      </c>
      <c r="K28" s="61">
        <f t="shared" ref="K28" si="117">IFERROR((K27/J27)-1,0)</f>
        <v>0</v>
      </c>
      <c r="L28" s="61">
        <f t="shared" ref="L28" si="118">IFERROR((L27/K27)-1,0)</f>
        <v>0</v>
      </c>
      <c r="M28" s="61">
        <f t="shared" ref="M28" si="119">IFERROR((M27/L27)-1,0)</f>
        <v>0</v>
      </c>
    </row>
    <row r="29" spans="1:13" x14ac:dyDescent="0.3">
      <c r="A29" s="64" t="s">
        <v>28</v>
      </c>
      <c r="B29" s="12">
        <f>-'Annual Inc Statement Reported'!B29</f>
        <v>679</v>
      </c>
      <c r="C29" s="12">
        <f>-'Annual Inc Statement Reported'!C29</f>
        <v>728</v>
      </c>
      <c r="D29" s="12">
        <f>-'Annual Inc Statement Reported'!D29</f>
        <v>678</v>
      </c>
      <c r="E29" s="12">
        <f>-'Annual Inc Statement Reported'!E29</f>
        <v>578</v>
      </c>
      <c r="F29" s="12">
        <f>-'Annual Inc Statement Reported'!F29</f>
        <v>543</v>
      </c>
      <c r="G29" s="12">
        <f>-'Annual Inc Statement Reported'!G29</f>
        <v>655</v>
      </c>
      <c r="H29" s="12">
        <f>-'Annual Inc Statement Reported'!H29</f>
        <v>816</v>
      </c>
      <c r="I29" s="12">
        <f>-'Annual Inc Statement Reported'!I29</f>
        <v>956</v>
      </c>
      <c r="J29" s="12">
        <f>-'Annual Inc Statement Reported'!J29</f>
        <v>1717</v>
      </c>
      <c r="K29" s="12">
        <f>-'Annual Inc Statement Reported'!K29</f>
        <v>1986</v>
      </c>
      <c r="L29" s="12">
        <f>-'Annual Inc Statement Reported'!L29</f>
        <v>1849</v>
      </c>
      <c r="M29" s="12">
        <f>-'Annual Inc Statement Reported'!M29</f>
        <v>1655</v>
      </c>
    </row>
    <row r="30" spans="1:13" x14ac:dyDescent="0.3">
      <c r="A30" s="64" t="s">
        <v>0</v>
      </c>
      <c r="B30" s="61">
        <f t="shared" ref="B30" si="120">IFERROR((B29/A29)-1,0)</f>
        <v>0</v>
      </c>
      <c r="C30" s="61">
        <f t="shared" ref="C30" si="121">IFERROR((C29/B29)-1,0)</f>
        <v>7.2164948453608213E-2</v>
      </c>
      <c r="D30" s="61">
        <f t="shared" ref="D30" si="122">IFERROR((D29/C29)-1,0)</f>
        <v>-6.8681318681318659E-2</v>
      </c>
      <c r="E30" s="61">
        <f t="shared" ref="E30" si="123">IFERROR((E29/D29)-1,0)</f>
        <v>-0.14749262536873153</v>
      </c>
      <c r="F30" s="61">
        <f t="shared" ref="F30" si="124">IFERROR((F29/E29)-1,0)</f>
        <v>-6.0553633217993119E-2</v>
      </c>
      <c r="G30" s="61">
        <f t="shared" ref="G30" si="125">IFERROR((G29/F29)-1,0)</f>
        <v>0.20626151012891336</v>
      </c>
      <c r="H30" s="61">
        <f t="shared" ref="H30" si="126">IFERROR((H29/G29)-1,0)</f>
        <v>0.24580152671755728</v>
      </c>
      <c r="I30" s="61">
        <f t="shared" ref="I30" si="127">IFERROR((I29/H29)-1,0)</f>
        <v>0.17156862745098045</v>
      </c>
      <c r="J30" s="61">
        <f t="shared" ref="J30" si="128">IFERROR((J29/I29)-1,0)</f>
        <v>0.79602510460251041</v>
      </c>
      <c r="K30" s="61">
        <f t="shared" ref="K30" si="129">IFERROR((K29/J29)-1,0)</f>
        <v>0.15666860803727434</v>
      </c>
      <c r="L30" s="61">
        <f t="shared" ref="L30" si="130">IFERROR((L29/K29)-1,0)</f>
        <v>-6.8982880161127857E-2</v>
      </c>
      <c r="M30" s="61">
        <f t="shared" ref="M30" si="131">IFERROR((M29/L29)-1,0)</f>
        <v>-0.10492157923201728</v>
      </c>
    </row>
    <row r="31" spans="1:13" x14ac:dyDescent="0.3">
      <c r="A31" s="14" t="s">
        <v>283</v>
      </c>
      <c r="B31" s="79">
        <f t="shared" ref="B31" si="132">(B9+B11+B13+B15+B17+B19+B27+B29)</f>
        <v>10425</v>
      </c>
      <c r="C31" s="79">
        <f t="shared" ref="C31:H31" si="133">(C9+C11+C13+C15+C17+C19+C27+C29)</f>
        <v>11433</v>
      </c>
      <c r="D31" s="79">
        <f t="shared" si="133"/>
        <v>11683</v>
      </c>
      <c r="E31" s="79">
        <f t="shared" si="133"/>
        <v>11763</v>
      </c>
      <c r="F31" s="79">
        <f t="shared" si="133"/>
        <v>12457</v>
      </c>
      <c r="G31" s="79">
        <f t="shared" si="133"/>
        <v>12364</v>
      </c>
      <c r="H31" s="79">
        <f t="shared" si="133"/>
        <v>13241</v>
      </c>
      <c r="I31" s="79">
        <f t="shared" ref="I31:M31" si="134">(I9+I11+I13+I15+I17+I19+I27+I29)</f>
        <v>14858</v>
      </c>
      <c r="J31" s="79">
        <f t="shared" si="134"/>
        <v>16507</v>
      </c>
      <c r="K31" s="79">
        <f t="shared" si="134"/>
        <v>17481</v>
      </c>
      <c r="L31" s="79">
        <f t="shared" si="134"/>
        <v>9298</v>
      </c>
      <c r="M31" s="79">
        <f t="shared" si="134"/>
        <v>8046</v>
      </c>
    </row>
    <row r="32" spans="1:13" x14ac:dyDescent="0.3">
      <c r="A32" s="64" t="s">
        <v>0</v>
      </c>
      <c r="B32" s="61">
        <f t="shared" ref="B32" si="135">IFERROR((B31/A31)-1,0)</f>
        <v>0</v>
      </c>
      <c r="C32" s="61">
        <f t="shared" ref="C32" si="136">IFERROR((C31/B31)-1,0)</f>
        <v>9.6690647482014391E-2</v>
      </c>
      <c r="D32" s="61">
        <f t="shared" ref="D32" si="137">IFERROR((D31/C31)-1,0)</f>
        <v>2.1866526720895729E-2</v>
      </c>
      <c r="E32" s="61">
        <f t="shared" ref="E32" si="138">IFERROR((E31/D31)-1,0)</f>
        <v>6.8475562783532062E-3</v>
      </c>
      <c r="F32" s="61">
        <f t="shared" ref="F32" si="139">IFERROR((F31/E31)-1,0)</f>
        <v>5.899855479044458E-2</v>
      </c>
      <c r="G32" s="61">
        <f t="shared" ref="G32" si="140">IFERROR((G31/F31)-1,0)</f>
        <v>-7.4656819458939205E-3</v>
      </c>
      <c r="H32" s="61">
        <f t="shared" ref="H32" si="141">IFERROR((H31/G31)-1,0)</f>
        <v>7.09317373018441E-2</v>
      </c>
      <c r="I32" s="61">
        <f t="shared" ref="I32" si="142">IFERROR((I31/H31)-1,0)</f>
        <v>0.12212068574881041</v>
      </c>
      <c r="J32" s="61">
        <f t="shared" ref="J32" si="143">IFERROR((J31/I31)-1,0)</f>
        <v>0.11098398169336376</v>
      </c>
      <c r="K32" s="61">
        <f t="shared" ref="K32" si="144">IFERROR((K31/J31)-1,0)</f>
        <v>5.9005270491306661E-2</v>
      </c>
      <c r="L32" s="61">
        <f t="shared" ref="L32" si="145">IFERROR((L31/K31)-1,0)</f>
        <v>-0.46810823179451977</v>
      </c>
      <c r="M32" s="61">
        <f t="shared" ref="M32" si="146">IFERROR((M31/L31)-1,0)</f>
        <v>-0.13465261346526136</v>
      </c>
    </row>
    <row r="33" spans="1:13" x14ac:dyDescent="0.3">
      <c r="A33" s="14" t="s">
        <v>282</v>
      </c>
      <c r="B33" s="79">
        <f t="shared" ref="B33" si="147">B31-B11</f>
        <v>7773</v>
      </c>
      <c r="C33" s="79">
        <f t="shared" ref="C33:H33" si="148">C31-C11</f>
        <v>8058</v>
      </c>
      <c r="D33" s="79">
        <f t="shared" si="148"/>
        <v>8122</v>
      </c>
      <c r="E33" s="79">
        <f t="shared" si="148"/>
        <v>8229</v>
      </c>
      <c r="F33" s="79">
        <f t="shared" si="148"/>
        <v>8710</v>
      </c>
      <c r="G33" s="79">
        <f t="shared" si="148"/>
        <v>9900</v>
      </c>
      <c r="H33" s="79">
        <f t="shared" si="148"/>
        <v>10962</v>
      </c>
      <c r="I33" s="79">
        <f t="shared" ref="I33:M33" si="149">I31-I11</f>
        <v>11931</v>
      </c>
      <c r="J33" s="79">
        <f t="shared" si="149"/>
        <v>12538</v>
      </c>
      <c r="K33" s="79">
        <f t="shared" si="149"/>
        <v>13619</v>
      </c>
      <c r="L33" s="79">
        <f t="shared" si="149"/>
        <v>7976</v>
      </c>
      <c r="M33" s="79">
        <f t="shared" si="149"/>
        <v>6948</v>
      </c>
    </row>
    <row r="34" spans="1:13" x14ac:dyDescent="0.3">
      <c r="A34" s="64" t="s">
        <v>0</v>
      </c>
      <c r="B34" s="61">
        <f t="shared" ref="B34" si="150">IFERROR((B33/A33)-1,0)</f>
        <v>0</v>
      </c>
      <c r="C34" s="61">
        <f t="shared" ref="C34" si="151">IFERROR((C33/B33)-1,0)</f>
        <v>3.6665380162099526E-2</v>
      </c>
      <c r="D34" s="61">
        <f t="shared" ref="D34" si="152">IFERROR((D33/C33)-1,0)</f>
        <v>7.9424174733184749E-3</v>
      </c>
      <c r="E34" s="61">
        <f t="shared" ref="E34" si="153">IFERROR((E33/D33)-1,0)</f>
        <v>1.3174095050480172E-2</v>
      </c>
      <c r="F34" s="61">
        <f t="shared" ref="F34" si="154">IFERROR((F33/E33)-1,0)</f>
        <v>5.8451816745655583E-2</v>
      </c>
      <c r="G34" s="61">
        <f t="shared" ref="G34" si="155">IFERROR((G33/F33)-1,0)</f>
        <v>0.13662456946039025</v>
      </c>
      <c r="H34" s="61">
        <f t="shared" ref="H34" si="156">IFERROR((H33/G33)-1,0)</f>
        <v>0.10727272727272719</v>
      </c>
      <c r="I34" s="61">
        <f t="shared" ref="I34" si="157">IFERROR((I33/H33)-1,0)</f>
        <v>8.839627805145045E-2</v>
      </c>
      <c r="J34" s="61">
        <f t="shared" ref="J34" si="158">IFERROR((J33/I33)-1,0)</f>
        <v>5.0875869583438149E-2</v>
      </c>
      <c r="K34" s="61">
        <f t="shared" ref="K34" si="159">IFERROR((K33/J33)-1,0)</f>
        <v>8.6217897591322368E-2</v>
      </c>
      <c r="L34" s="61">
        <f t="shared" ref="L34" si="160">IFERROR((L33/K33)-1,0)</f>
        <v>-0.41434760261399517</v>
      </c>
      <c r="M34" s="61">
        <f t="shared" ref="M34" si="161">IFERROR((M33/L33)-1,0)</f>
        <v>-0.12888665997993987</v>
      </c>
    </row>
    <row r="35" spans="1:13" x14ac:dyDescent="0.3">
      <c r="A35" s="8" t="s">
        <v>281</v>
      </c>
      <c r="B35" s="10"/>
      <c r="C35" s="10"/>
      <c r="D35" s="10"/>
      <c r="E35" s="10"/>
      <c r="F35" s="10"/>
      <c r="G35" s="10"/>
      <c r="H35" s="10"/>
      <c r="I35" s="10"/>
      <c r="J35" s="10"/>
      <c r="K35" s="10"/>
      <c r="L35" s="10"/>
      <c r="M35" s="10"/>
    </row>
    <row r="36" spans="1:13" x14ac:dyDescent="0.3">
      <c r="A36" s="64" t="s">
        <v>280</v>
      </c>
      <c r="B36" s="2">
        <f>IFERROR(B9/B31,"")</f>
        <v>0.18081534772182253</v>
      </c>
      <c r="C36" s="2">
        <f t="shared" ref="C36:M36" si="162">IFERROR(C9/C31,"")</f>
        <v>0.17414501880521299</v>
      </c>
      <c r="D36" s="2">
        <f t="shared" si="162"/>
        <v>0.16990499015663785</v>
      </c>
      <c r="E36" s="2">
        <f t="shared" si="162"/>
        <v>0.18405168749468673</v>
      </c>
      <c r="F36" s="2">
        <f t="shared" si="162"/>
        <v>0.18319017419924541</v>
      </c>
      <c r="G36" s="2">
        <f t="shared" si="162"/>
        <v>0.18796505985118084</v>
      </c>
      <c r="H36" s="2">
        <f t="shared" si="162"/>
        <v>0.18956272184880296</v>
      </c>
      <c r="I36" s="2">
        <f t="shared" ref="I36:K36" si="163">IFERROR(I9/I31,"")</f>
        <v>0.1797684748956791</v>
      </c>
      <c r="J36" s="2">
        <f t="shared" si="163"/>
        <v>0.17404737384140062</v>
      </c>
      <c r="K36" s="2">
        <f t="shared" si="163"/>
        <v>0.18214060980493108</v>
      </c>
      <c r="L36" s="2">
        <f t="shared" ref="L36" si="164">IFERROR(L9/L31,"")</f>
        <v>0.19520326952032696</v>
      </c>
      <c r="M36" s="2">
        <f t="shared" si="162"/>
        <v>0.22259507829977629</v>
      </c>
    </row>
    <row r="37" spans="1:13" x14ac:dyDescent="0.3">
      <c r="A37" s="64" t="s">
        <v>279</v>
      </c>
      <c r="B37" s="2">
        <f>IFERROR(B11/B31,"")</f>
        <v>0.25438848920863311</v>
      </c>
      <c r="C37" s="2">
        <f t="shared" ref="C37:M37" si="165">IFERROR(C11/C31,"")</f>
        <v>0.29519811073209129</v>
      </c>
      <c r="D37" s="2">
        <f t="shared" si="165"/>
        <v>0.30480184884019518</v>
      </c>
      <c r="E37" s="2">
        <f t="shared" si="165"/>
        <v>0.30043356286661566</v>
      </c>
      <c r="F37" s="2">
        <f t="shared" si="165"/>
        <v>0.3007947338845629</v>
      </c>
      <c r="G37" s="2">
        <f t="shared" si="165"/>
        <v>0.199288256227758</v>
      </c>
      <c r="H37" s="2">
        <f t="shared" si="165"/>
        <v>0.17211690959897288</v>
      </c>
      <c r="I37" s="2">
        <f t="shared" ref="I37:K37" si="166">IFERROR(I11/I31,"")</f>
        <v>0.1969982501009557</v>
      </c>
      <c r="J37" s="2">
        <f t="shared" si="166"/>
        <v>0.24044344823408251</v>
      </c>
      <c r="K37" s="2">
        <f t="shared" si="166"/>
        <v>0.22092557634002633</v>
      </c>
      <c r="L37" s="2">
        <f t="shared" ref="L37" si="167">IFERROR(L11/L31,"")</f>
        <v>0.14218111421811142</v>
      </c>
      <c r="M37" s="2">
        <f t="shared" si="165"/>
        <v>0.13646532438478748</v>
      </c>
    </row>
    <row r="38" spans="1:13" x14ac:dyDescent="0.3">
      <c r="A38" s="64" t="s">
        <v>278</v>
      </c>
      <c r="B38" s="2">
        <f>IFERROR(B13/B31,"")</f>
        <v>6.4940047961630692E-2</v>
      </c>
      <c r="C38" s="2">
        <f t="shared" ref="C38:M38" si="168">IFERROR(C13/C31,"")</f>
        <v>5.9564418787719758E-2</v>
      </c>
      <c r="D38" s="2">
        <f t="shared" si="168"/>
        <v>5.7519472738166565E-2</v>
      </c>
      <c r="E38" s="2">
        <f t="shared" si="168"/>
        <v>5.3727790529626798E-2</v>
      </c>
      <c r="F38" s="2">
        <f t="shared" si="168"/>
        <v>5.8441037167857431E-2</v>
      </c>
      <c r="G38" s="2">
        <f t="shared" si="168"/>
        <v>6.2520219993529608E-2</v>
      </c>
      <c r="H38" s="2">
        <f t="shared" si="168"/>
        <v>6.6460237142209805E-2</v>
      </c>
      <c r="I38" s="2">
        <f t="shared" ref="I38:K38" si="169">IFERROR(I13/I31,"")</f>
        <v>6.3130973213083863E-2</v>
      </c>
      <c r="J38" s="2">
        <f t="shared" si="169"/>
        <v>5.4704064942145754E-2</v>
      </c>
      <c r="K38" s="2">
        <f t="shared" si="169"/>
        <v>5.7433785252559925E-2</v>
      </c>
      <c r="L38" s="2">
        <f t="shared" ref="L38" si="170">IFERROR(L13/L31,"")</f>
        <v>7.3241557324155729E-2</v>
      </c>
      <c r="M38" s="2">
        <f t="shared" si="168"/>
        <v>7.6435495898583145E-2</v>
      </c>
    </row>
    <row r="39" spans="1:13" x14ac:dyDescent="0.3">
      <c r="A39" s="64" t="s">
        <v>277</v>
      </c>
      <c r="B39" s="2">
        <f>IFERROR(B15/B31,"")</f>
        <v>0.1493525179856115</v>
      </c>
      <c r="C39" s="2">
        <f t="shared" ref="C39:M39" si="171">IFERROR(C15/C31,"")</f>
        <v>0.12927490597393509</v>
      </c>
      <c r="D39" s="2">
        <f t="shared" si="171"/>
        <v>0.12590944106821877</v>
      </c>
      <c r="E39" s="2">
        <f t="shared" si="171"/>
        <v>0.13593471053302728</v>
      </c>
      <c r="F39" s="2">
        <f t="shared" si="171"/>
        <v>0.13783414947419123</v>
      </c>
      <c r="G39" s="2">
        <f t="shared" si="171"/>
        <v>0.12382724037528307</v>
      </c>
      <c r="H39" s="2">
        <f t="shared" si="171"/>
        <v>0.12816252548901141</v>
      </c>
      <c r="I39" s="2">
        <f t="shared" ref="I39:K39" si="172">IFERROR(I15/I31,"")</f>
        <v>0.12289675595638713</v>
      </c>
      <c r="J39" s="2">
        <f t="shared" si="172"/>
        <v>0.12110013933482765</v>
      </c>
      <c r="K39" s="2">
        <f t="shared" si="172"/>
        <v>0.11795663863623362</v>
      </c>
      <c r="L39" s="2">
        <f t="shared" ref="L39" si="173">IFERROR(L15/L31,"")</f>
        <v>0.10389331038933104</v>
      </c>
      <c r="M39" s="2">
        <f t="shared" si="171"/>
        <v>6.3136962465821525E-2</v>
      </c>
    </row>
    <row r="40" spans="1:13" x14ac:dyDescent="0.3">
      <c r="A40" s="64" t="s">
        <v>276</v>
      </c>
      <c r="B40" s="2">
        <f>IFERROR(B17/B31,"")</f>
        <v>2.4844124700239809E-2</v>
      </c>
      <c r="C40" s="2">
        <f t="shared" ref="C40:M40" si="174">IFERROR(C17/C31,"")</f>
        <v>5.3529257412752558E-2</v>
      </c>
      <c r="D40" s="2">
        <f t="shared" si="174"/>
        <v>5.1613455448086966E-2</v>
      </c>
      <c r="E40" s="2">
        <f t="shared" si="174"/>
        <v>5.2112556320666498E-2</v>
      </c>
      <c r="F40" s="2">
        <f t="shared" si="174"/>
        <v>5.3945572770329936E-2</v>
      </c>
      <c r="G40" s="2">
        <f t="shared" si="174"/>
        <v>4.9175024263992236E-2</v>
      </c>
      <c r="H40" s="2">
        <f t="shared" si="174"/>
        <v>5.3092666717015333E-2</v>
      </c>
      <c r="I40" s="2">
        <f t="shared" ref="I40:K40" si="175">IFERROR(I17/I31,"")</f>
        <v>5.2295059900390364E-2</v>
      </c>
      <c r="J40" s="2">
        <f t="shared" si="175"/>
        <v>4.888835039680136E-2</v>
      </c>
      <c r="K40" s="2">
        <f t="shared" si="175"/>
        <v>4.9997139751730452E-2</v>
      </c>
      <c r="L40" s="2">
        <f t="shared" ref="L40" si="176">IFERROR(L17/L31,"")</f>
        <v>2.7102602710260271E-2</v>
      </c>
      <c r="M40" s="2">
        <f t="shared" si="174"/>
        <v>2.0879940343027592E-2</v>
      </c>
    </row>
    <row r="41" spans="1:13" x14ac:dyDescent="0.3">
      <c r="A41" s="64" t="s">
        <v>275</v>
      </c>
      <c r="B41" s="2">
        <f>IFERROR(B19/B31,"")</f>
        <v>0.22733812949640289</v>
      </c>
      <c r="C41" s="2">
        <f t="shared" ref="C41:M41" si="177">IFERROR(C19/C31,"")</f>
        <v>0.19531181667103997</v>
      </c>
      <c r="D41" s="2">
        <f t="shared" si="177"/>
        <v>0.20345801592056834</v>
      </c>
      <c r="E41" s="2">
        <f t="shared" si="177"/>
        <v>0.19756864745388081</v>
      </c>
      <c r="F41" s="2">
        <f t="shared" si="177"/>
        <v>0.19707794814160712</v>
      </c>
      <c r="G41" s="2">
        <f t="shared" si="177"/>
        <v>0.29569718537690071</v>
      </c>
      <c r="H41" s="2">
        <f t="shared" si="177"/>
        <v>0.29408654935427836</v>
      </c>
      <c r="I41" s="2">
        <f t="shared" ref="I41:K41" si="178">IFERROR(I19/I31,"")</f>
        <v>0.28671422802530622</v>
      </c>
      <c r="J41" s="2">
        <f t="shared" si="178"/>
        <v>0.25680014539286361</v>
      </c>
      <c r="K41" s="2">
        <f t="shared" si="178"/>
        <v>0.25793718894800066</v>
      </c>
      <c r="L41" s="2">
        <f t="shared" ref="L41" si="179">IFERROR(L19/L31,"")</f>
        <v>0.25951817595181759</v>
      </c>
      <c r="M41" s="2">
        <f t="shared" si="177"/>
        <v>0.27479492915734527</v>
      </c>
    </row>
    <row r="42" spans="1:13" x14ac:dyDescent="0.3">
      <c r="A42" s="64" t="s">
        <v>274</v>
      </c>
      <c r="B42" s="2">
        <f>IFERROR(B21/B31,"")</f>
        <v>0</v>
      </c>
      <c r="C42" s="2">
        <f t="shared" ref="C42:M42" si="180">IFERROR(C21/C31,"")</f>
        <v>0</v>
      </c>
      <c r="D42" s="2">
        <f t="shared" si="180"/>
        <v>0</v>
      </c>
      <c r="E42" s="2">
        <f t="shared" si="180"/>
        <v>0</v>
      </c>
      <c r="F42" s="2">
        <f t="shared" si="180"/>
        <v>0</v>
      </c>
      <c r="G42" s="2">
        <f t="shared" si="180"/>
        <v>0</v>
      </c>
      <c r="H42" s="2">
        <f t="shared" si="180"/>
        <v>0</v>
      </c>
      <c r="I42" s="2">
        <f t="shared" ref="I42:K42" si="181">IFERROR(I21/I31,"")</f>
        <v>0</v>
      </c>
      <c r="J42" s="2">
        <f t="shared" si="181"/>
        <v>0</v>
      </c>
      <c r="K42" s="2">
        <f t="shared" si="181"/>
        <v>0</v>
      </c>
      <c r="L42" s="2">
        <f t="shared" ref="L42" si="182">IFERROR(L21/L31,"")</f>
        <v>0</v>
      </c>
      <c r="M42" s="2">
        <f t="shared" si="180"/>
        <v>0</v>
      </c>
    </row>
    <row r="43" spans="1:13" x14ac:dyDescent="0.3">
      <c r="A43" s="64" t="s">
        <v>273</v>
      </c>
      <c r="B43" s="61">
        <f>IFERROR(B23/B31,"")</f>
        <v>8.9592326139088727E-2</v>
      </c>
      <c r="C43" s="61">
        <f t="shared" ref="C43:M43" si="183">IFERROR(C23/C31,"")</f>
        <v>8.7728505204233365E-2</v>
      </c>
      <c r="D43" s="61">
        <f t="shared" si="183"/>
        <v>9.1757254129932381E-2</v>
      </c>
      <c r="E43" s="61">
        <f t="shared" si="183"/>
        <v>9.5468842982232419E-2</v>
      </c>
      <c r="F43" s="61">
        <f t="shared" si="183"/>
        <v>9.488640924781247E-2</v>
      </c>
      <c r="G43" s="61">
        <f t="shared" si="183"/>
        <v>0.18432546101585248</v>
      </c>
      <c r="H43" s="61">
        <f t="shared" si="183"/>
        <v>0.18185937618004683</v>
      </c>
      <c r="I43" s="61">
        <f t="shared" ref="I43:K43" si="184">IFERROR(I23/I31,"")</f>
        <v>0.17613406918831606</v>
      </c>
      <c r="J43" s="61">
        <f t="shared" si="184"/>
        <v>0.15193554249712243</v>
      </c>
      <c r="K43" s="61">
        <f t="shared" si="184"/>
        <v>0.1396373205194211</v>
      </c>
      <c r="L43" s="61">
        <f t="shared" ref="L43" si="185">IFERROR(L23/L31,"")</f>
        <v>0.11679931167993117</v>
      </c>
      <c r="M43" s="61">
        <f t="shared" si="183"/>
        <v>0.1174496644295302</v>
      </c>
    </row>
    <row r="44" spans="1:13" x14ac:dyDescent="0.3">
      <c r="A44" s="64" t="s">
        <v>272</v>
      </c>
      <c r="B44" s="2">
        <f>IFERROR(B25/B31,"")</f>
        <v>0.13774580335731415</v>
      </c>
      <c r="C44" s="2">
        <f t="shared" ref="C44:M44" si="186">IFERROR(C25/C31,"")</f>
        <v>0.10758331146680661</v>
      </c>
      <c r="D44" s="2">
        <f t="shared" si="186"/>
        <v>0.11170076179063597</v>
      </c>
      <c r="E44" s="2">
        <f t="shared" si="186"/>
        <v>0.10209980447164839</v>
      </c>
      <c r="F44" s="2">
        <f t="shared" si="186"/>
        <v>0.10219153889379465</v>
      </c>
      <c r="G44" s="2">
        <f t="shared" si="186"/>
        <v>0.11137172436104821</v>
      </c>
      <c r="H44" s="2">
        <f t="shared" si="186"/>
        <v>0.11222717317423156</v>
      </c>
      <c r="I44" s="2">
        <f t="shared" ref="I44:K44" si="187">IFERROR(I25/I31,"")</f>
        <v>0.11058015883699017</v>
      </c>
      <c r="J44" s="2">
        <f t="shared" si="187"/>
        <v>0.1048646028957412</v>
      </c>
      <c r="K44" s="2">
        <f t="shared" si="187"/>
        <v>0.1182998684285796</v>
      </c>
      <c r="L44" s="2">
        <f t="shared" ref="L44" si="188">IFERROR(L25/L31,"")</f>
        <v>0.14271886427188643</v>
      </c>
      <c r="M44" s="2">
        <f t="shared" si="186"/>
        <v>0.15734526472781507</v>
      </c>
    </row>
    <row r="45" spans="1:13" x14ac:dyDescent="0.3">
      <c r="A45" s="64" t="s">
        <v>271</v>
      </c>
      <c r="B45" s="2">
        <f>IFERROR(B27/B31,"")</f>
        <v>3.3189448441247001E-2</v>
      </c>
      <c r="C45" s="2">
        <f t="shared" ref="C45:M45" si="189">IFERROR(C27/C31,"")</f>
        <v>2.9301145806000174E-2</v>
      </c>
      <c r="D45" s="2">
        <f t="shared" si="189"/>
        <v>2.8759736369083282E-2</v>
      </c>
      <c r="E45" s="2">
        <f t="shared" si="189"/>
        <v>2.7033919918388168E-2</v>
      </c>
      <c r="F45" s="2">
        <f t="shared" si="189"/>
        <v>2.5126434936180459E-2</v>
      </c>
      <c r="G45" s="2">
        <f t="shared" si="189"/>
        <v>2.8550630863798124E-2</v>
      </c>
      <c r="H45" s="2">
        <f t="shared" si="189"/>
        <v>3.489162449966015E-2</v>
      </c>
      <c r="I45" s="2">
        <f t="shared" ref="I45:K45" si="190">IFERROR(I27/I31,"")</f>
        <v>3.3853816125992732E-2</v>
      </c>
      <c r="J45" s="2">
        <f t="shared" si="190"/>
        <v>0</v>
      </c>
      <c r="K45" s="2">
        <f t="shared" si="190"/>
        <v>0</v>
      </c>
      <c r="L45" s="2">
        <f t="shared" ref="L45" si="191">IFERROR(L27/L31,"")</f>
        <v>0</v>
      </c>
      <c r="M45" s="2">
        <f t="shared" si="189"/>
        <v>0</v>
      </c>
    </row>
    <row r="46" spans="1:13" x14ac:dyDescent="0.3">
      <c r="A46" s="64" t="s">
        <v>270</v>
      </c>
      <c r="B46" s="2">
        <f>IFERROR(B29/B31,"")</f>
        <v>6.5131894484412464E-2</v>
      </c>
      <c r="C46" s="2">
        <f t="shared" ref="C46:M46" si="192">IFERROR(C29/C31,"")</f>
        <v>6.3675325811248143E-2</v>
      </c>
      <c r="D46" s="2">
        <f t="shared" si="192"/>
        <v>5.8033039459043055E-2</v>
      </c>
      <c r="E46" s="2">
        <f t="shared" si="192"/>
        <v>4.9137124883108049E-2</v>
      </c>
      <c r="F46" s="2">
        <f t="shared" si="192"/>
        <v>4.358994942602553E-2</v>
      </c>
      <c r="G46" s="2">
        <f t="shared" si="192"/>
        <v>5.2976383047557425E-2</v>
      </c>
      <c r="H46" s="2">
        <f t="shared" si="192"/>
        <v>6.1626765350049087E-2</v>
      </c>
      <c r="I46" s="2">
        <f t="shared" ref="I46:K46" si="193">IFERROR(I29/I31,"")</f>
        <v>6.4342441782204871E-2</v>
      </c>
      <c r="J46" s="2">
        <f t="shared" si="193"/>
        <v>0.10401647785787847</v>
      </c>
      <c r="K46" s="2">
        <f t="shared" si="193"/>
        <v>0.11360906126651793</v>
      </c>
      <c r="L46" s="2">
        <f t="shared" ref="L46" si="194">IFERROR(L29/L31,"")</f>
        <v>0.198859969885997</v>
      </c>
      <c r="M46" s="2">
        <f t="shared" si="192"/>
        <v>0.20569226945065872</v>
      </c>
    </row>
    <row r="47" spans="1:13" x14ac:dyDescent="0.3">
      <c r="A47" s="14" t="s">
        <v>269</v>
      </c>
      <c r="B47" s="78">
        <f>IFERROR(SUM(B36:B46)-B41,"")</f>
        <v>0.99999999999999967</v>
      </c>
      <c r="C47" s="78">
        <f t="shared" ref="C47:M47" si="195">IFERROR(SUM(C36:C46)-C41,"")</f>
        <v>1</v>
      </c>
      <c r="D47" s="78">
        <f t="shared" si="195"/>
        <v>1</v>
      </c>
      <c r="E47" s="78">
        <f t="shared" si="195"/>
        <v>1</v>
      </c>
      <c r="F47" s="78">
        <f t="shared" si="195"/>
        <v>1</v>
      </c>
      <c r="G47" s="78">
        <f t="shared" si="195"/>
        <v>0.99999999999999989</v>
      </c>
      <c r="H47" s="78">
        <f t="shared" si="195"/>
        <v>1</v>
      </c>
      <c r="I47" s="78">
        <f t="shared" ref="I47:K47" si="196">IFERROR(SUM(I36:I46)-I41,"")</f>
        <v>0.99999999999999989</v>
      </c>
      <c r="J47" s="78">
        <f t="shared" si="196"/>
        <v>1</v>
      </c>
      <c r="K47" s="78">
        <f t="shared" si="196"/>
        <v>1</v>
      </c>
      <c r="L47" s="78">
        <f t="shared" ref="L47" si="197">IFERROR(SUM(L36:L46)-L41,"")</f>
        <v>0.99999999999999989</v>
      </c>
      <c r="M47" s="78">
        <f t="shared" si="195"/>
        <v>1</v>
      </c>
    </row>
    <row r="48" spans="1:13" x14ac:dyDescent="0.3">
      <c r="A48" s="8" t="str">
        <f>("Total Operating Costs " &amp; 'Revenue Analysis Reported'!$A$41)</f>
        <v>Total Operating Costs Per ASM:</v>
      </c>
      <c r="B48" s="10"/>
      <c r="C48" s="10"/>
      <c r="D48" s="10"/>
      <c r="E48" s="10"/>
      <c r="F48" s="10"/>
      <c r="G48" s="10"/>
      <c r="H48" s="10"/>
      <c r="I48" s="10"/>
      <c r="J48" s="10"/>
      <c r="K48" s="10"/>
      <c r="L48" s="10"/>
      <c r="M48" s="10"/>
    </row>
    <row r="49" spans="1:13" x14ac:dyDescent="0.3">
      <c r="A49" s="64" t="str">
        <f>("Employee Costs per " &amp; 'Annual Operational Data'!$A$33  &amp; " [cents]")</f>
        <v>Employee Costs per ASMs [cents]</v>
      </c>
      <c r="B49" s="4">
        <f>IFERROR(B9*100/'Annual Operational Data'!B33,"")</f>
        <v>2.9686909411616478</v>
      </c>
      <c r="C49" s="4">
        <f>IFERROR(C9*100/'Annual Operational Data'!C33,"")</f>
        <v>2.9957869395124885</v>
      </c>
      <c r="D49" s="4">
        <f>IFERROR(D9*100/'Annual Operational Data'!D33,"")</f>
        <v>2.9508391681160715</v>
      </c>
      <c r="E49" s="4">
        <f>IFERROR(E9*100/'Annual Operational Data'!E33,"")</f>
        <v>3.1572193137240605</v>
      </c>
      <c r="F49" s="4">
        <f>IFERROR(F9*100/'Annual Operational Data'!F33,"")</f>
        <v>3.0884164083963785</v>
      </c>
      <c r="G49" s="4">
        <f>IFERROR(G9*100/'Annual Operational Data'!G33,"")</f>
        <v>2.8737124556392279</v>
      </c>
      <c r="H49" s="4">
        <f>IFERROR(H9*100/'Annual Operational Data'!H33,"")</f>
        <v>2.7068998986260597</v>
      </c>
      <c r="I49" s="4">
        <f>IFERROR(I9*100/'Annual Operational Data'!I33,"")</f>
        <v>2.5808758164882311</v>
      </c>
      <c r="J49" s="4">
        <f>IFERROR(J9*100/'Annual Operational Data'!J33,"")</f>
        <v>2.5914166651633503</v>
      </c>
      <c r="K49" s="4">
        <f>IFERROR(K9*100/'Annual Operational Data'!K33,"")</f>
        <v>2.8223447444466112</v>
      </c>
      <c r="L49" s="4">
        <f>IFERROR(L9*100/'Annual Operational Data'!L33,"")</f>
        <v>4.8139405352359228</v>
      </c>
      <c r="M49" s="4">
        <f>IFERROR(M9*100/'Annual Operational Data'!M33,"")</f>
        <v>7.0715047182848343</v>
      </c>
    </row>
    <row r="50" spans="1:13" x14ac:dyDescent="0.3">
      <c r="A50" s="64" t="s">
        <v>0</v>
      </c>
      <c r="B50" s="61">
        <f>IFERROR((B49/A49)-1,0)</f>
        <v>0</v>
      </c>
      <c r="C50" s="61">
        <f t="shared" ref="C50:L50" si="198">IFERROR((C49/B49)-1,0)</f>
        <v>9.12725470177711E-3</v>
      </c>
      <c r="D50" s="61">
        <f t="shared" si="198"/>
        <v>-1.500366090912042E-2</v>
      </c>
      <c r="E50" s="61">
        <f t="shared" si="198"/>
        <v>6.9939476145611135E-2</v>
      </c>
      <c r="F50" s="61">
        <f t="shared" si="198"/>
        <v>-2.1792247699931377E-2</v>
      </c>
      <c r="G50" s="61">
        <f t="shared" si="198"/>
        <v>-6.9519107647997846E-2</v>
      </c>
      <c r="H50" s="61">
        <f t="shared" si="198"/>
        <v>-5.8047755155817282E-2</v>
      </c>
      <c r="I50" s="61">
        <f t="shared" si="198"/>
        <v>-4.6556609722359754E-2</v>
      </c>
      <c r="J50" s="61">
        <f t="shared" si="198"/>
        <v>4.0842138191143906E-3</v>
      </c>
      <c r="K50" s="61">
        <f t="shared" si="198"/>
        <v>8.9112678168527637E-2</v>
      </c>
      <c r="L50" s="61">
        <f t="shared" si="198"/>
        <v>0.70565291313475309</v>
      </c>
      <c r="M50" s="61">
        <f>IFERROR((M49/J49)-1,0)</f>
        <v>1.7288181068477773</v>
      </c>
    </row>
    <row r="51" spans="1:13" x14ac:dyDescent="0.3">
      <c r="A51" s="64" t="str">
        <f>("Fuel and oil per " &amp; 'Annual Operational Data'!$A$33 &amp; " [cents]")</f>
        <v>Fuel and oil per ASMs [cents]</v>
      </c>
      <c r="B51" s="4">
        <f>IFERROR(B11*100/'Annual Operational Data'!B33,"")</f>
        <v>4.176641048255008</v>
      </c>
      <c r="C51" s="4">
        <f>IFERROR(C11*100/'Annual Operational Data'!C33,"")</f>
        <v>5.0782425519109236</v>
      </c>
      <c r="D51" s="4">
        <f>IFERROR(D11*100/'Annual Operational Data'!D33,"")</f>
        <v>5.2936716764036928</v>
      </c>
      <c r="E51" s="4">
        <f>IFERROR(E11*100/'Annual Operational Data'!E33,"")</f>
        <v>5.1536318959357184</v>
      </c>
      <c r="F51" s="4">
        <f>IFERROR(F11*100/'Annual Operational Data'!F33,"")</f>
        <v>5.0711201938042194</v>
      </c>
      <c r="G51" s="4">
        <f>IFERROR(G11*100/'Annual Operational Data'!G33,"")</f>
        <v>3.0468276638102658</v>
      </c>
      <c r="H51" s="4">
        <f>IFERROR(H11*100/'Annual Operational Data'!H33,"")</f>
        <v>2.4577788322584819</v>
      </c>
      <c r="I51" s="4">
        <f>IFERROR(I11*100/'Annual Operational Data'!I33,"")</f>
        <v>2.8282379314343138</v>
      </c>
      <c r="J51" s="4">
        <f>IFERROR(J11*100/'Annual Operational Data'!J33,"")</f>
        <v>3.5799974744285894</v>
      </c>
      <c r="K51" s="4">
        <f>IFERROR(K11*100/'Annual Operational Data'!K33,"")</f>
        <v>3.423333983370858</v>
      </c>
      <c r="L51" s="4">
        <f>IFERROR(L11*100/'Annual Operational Data'!L33,"")</f>
        <v>3.5063522796594437</v>
      </c>
      <c r="M51" s="4">
        <f>IFERROR(M11*100/'Annual Operational Data'!M33,"")</f>
        <v>4.3352943499032657</v>
      </c>
    </row>
    <row r="52" spans="1:13" x14ac:dyDescent="0.3">
      <c r="A52" s="64" t="s">
        <v>0</v>
      </c>
      <c r="B52" s="61">
        <f>IFERROR((B51/A51)-1,0)</f>
        <v>0</v>
      </c>
      <c r="C52" s="61">
        <f t="shared" ref="C52:L52" si="199">IFERROR((C51/B51)-1,0)</f>
        <v>0.21586760586778286</v>
      </c>
      <c r="D52" s="61">
        <f t="shared" si="199"/>
        <v>4.242198404085773E-2</v>
      </c>
      <c r="E52" s="61">
        <f t="shared" si="199"/>
        <v>-2.6454187004493646E-2</v>
      </c>
      <c r="F52" s="61">
        <f t="shared" si="199"/>
        <v>-1.6010398840586526E-2</v>
      </c>
      <c r="G52" s="61">
        <f t="shared" si="199"/>
        <v>-0.39918054643374234</v>
      </c>
      <c r="H52" s="61">
        <f t="shared" si="199"/>
        <v>-0.19333185087834548</v>
      </c>
      <c r="I52" s="61">
        <f t="shared" si="199"/>
        <v>0.15072922523114607</v>
      </c>
      <c r="J52" s="61">
        <f t="shared" si="199"/>
        <v>0.26580491501046666</v>
      </c>
      <c r="K52" s="61">
        <f t="shared" si="199"/>
        <v>-4.3760782563886269E-2</v>
      </c>
      <c r="L52" s="61">
        <f t="shared" si="199"/>
        <v>2.4250714856293376E-2</v>
      </c>
      <c r="M52" s="61">
        <f>IFERROR((M51/J51)-1,0)</f>
        <v>0.21097692969608328</v>
      </c>
    </row>
    <row r="53" spans="1:13" x14ac:dyDescent="0.3">
      <c r="A53" s="64" t="str">
        <f>("Maintenance, materials &amp; engineering per " &amp; 'Annual Operational Data'!$A$33 &amp;" [cents]")</f>
        <v>Maintenance, materials &amp; engineering per ASMs [cents]</v>
      </c>
      <c r="B53" s="4">
        <f>IFERROR(B13*100/'Annual Operational Data'!B33,"")</f>
        <v>1.0662088950485069</v>
      </c>
      <c r="C53" s="4">
        <f>IFERROR(C13*100/'Annual Operational Data'!C33,"")</f>
        <v>1.0246764971411375</v>
      </c>
      <c r="D53" s="4">
        <f>IFERROR(D13*100/'Annual Operational Data'!D33,"")</f>
        <v>0.99897426749319895</v>
      </c>
      <c r="E53" s="4">
        <f>IFERROR(E13*100/'Annual Operational Data'!E33,"")</f>
        <v>0.92164554562291279</v>
      </c>
      <c r="F53" s="4">
        <f>IFERROR(F13*100/'Annual Operational Data'!F33,"")</f>
        <v>0.98526167629823114</v>
      </c>
      <c r="G53" s="4">
        <f>IFERROR(G13*100/'Annual Operational Data'!G33,"")</f>
        <v>0.95584325654437319</v>
      </c>
      <c r="H53" s="4">
        <f>IFERROR(H13*100/'Annual Operational Data'!H33,"")</f>
        <v>0.94903263378124803</v>
      </c>
      <c r="I53" s="4">
        <f>IFERROR(I13*100/'Annual Operational Data'!I33,"")</f>
        <v>0.90635024929463148</v>
      </c>
      <c r="J53" s="4">
        <f>IFERROR(J13*100/'Annual Operational Data'!J33,"")</f>
        <v>0.81449677989645153</v>
      </c>
      <c r="K53" s="4">
        <f>IFERROR(K13*100/'Annual Operational Data'!K33,"")</f>
        <v>0.88996046589962241</v>
      </c>
      <c r="L53" s="4">
        <f>IFERROR(L13*100/'Annual Operational Data'!L33,"")</f>
        <v>1.8062223165265363</v>
      </c>
      <c r="M53" s="4">
        <f>IFERROR(M13*100/'Annual Operational Data'!M33,"")</f>
        <v>2.4282386386070201</v>
      </c>
    </row>
    <row r="54" spans="1:13" x14ac:dyDescent="0.3">
      <c r="A54" s="64" t="s">
        <v>0</v>
      </c>
      <c r="B54" s="61">
        <f>IFERROR((B53/A53)-1,0)</f>
        <v>0</v>
      </c>
      <c r="C54" s="61">
        <f t="shared" ref="C54:L54" si="200">IFERROR((C53/B53)-1,0)</f>
        <v>-3.8953340288424343E-2</v>
      </c>
      <c r="D54" s="61">
        <f t="shared" si="200"/>
        <v>-2.5083262590337663E-2</v>
      </c>
      <c r="E54" s="61">
        <f t="shared" si="200"/>
        <v>-7.7408121897206583E-2</v>
      </c>
      <c r="F54" s="61">
        <f t="shared" si="200"/>
        <v>6.9024508367066639E-2</v>
      </c>
      <c r="G54" s="61">
        <f t="shared" si="200"/>
        <v>-2.9858483752648435E-2</v>
      </c>
      <c r="H54" s="61">
        <f t="shared" si="200"/>
        <v>-7.1252506271241023E-3</v>
      </c>
      <c r="I54" s="61">
        <f t="shared" si="200"/>
        <v>-4.4974622544386444E-2</v>
      </c>
      <c r="J54" s="61">
        <f t="shared" si="200"/>
        <v>-0.10134434173727547</v>
      </c>
      <c r="K54" s="61">
        <f t="shared" si="200"/>
        <v>9.2650686737846488E-2</v>
      </c>
      <c r="L54" s="61">
        <f t="shared" si="200"/>
        <v>1.0295534304444689</v>
      </c>
      <c r="M54" s="61">
        <f>IFERROR((M53/J53)-1,0)</f>
        <v>1.9812746944386035</v>
      </c>
    </row>
    <row r="55" spans="1:13" x14ac:dyDescent="0.3">
      <c r="A55" s="64" t="str">
        <f>("Landing fees, en route &amp; other variable charges per " &amp; 'Annual Operational Data'!$A$33 &amp;" [cents]")</f>
        <v>Landing fees, en route &amp; other variable charges per ASMs [cents]</v>
      </c>
      <c r="B55" s="4">
        <f>IFERROR(B15*100/'Annual Operational Data'!B33,"")</f>
        <v>2.4521229683759609</v>
      </c>
      <c r="C55" s="4">
        <f>IFERROR(C15*100/'Annual Operational Data'!C33,"")</f>
        <v>2.2238940716220283</v>
      </c>
      <c r="D55" s="4">
        <f>IFERROR(D15*100/'Annual Operational Data'!D33,"")</f>
        <v>2.186742778991809</v>
      </c>
      <c r="E55" s="4">
        <f>IFERROR(E15*100/'Annual Operational Data'!E33,"")</f>
        <v>2.3318215624225278</v>
      </c>
      <c r="F55" s="4">
        <f>IFERROR(F15*100/'Annual Operational Data'!F33,"")</f>
        <v>2.3237559041264602</v>
      </c>
      <c r="G55" s="4">
        <f>IFERROR(G15*100/'Annual Operational Data'!G33,"")</f>
        <v>1.8931384550704209</v>
      </c>
      <c r="H55" s="4">
        <f>IFERROR(H15*100/'Annual Operational Data'!H33,"")</f>
        <v>1.8301231585531565</v>
      </c>
      <c r="I55" s="4">
        <f>IFERROR(I15*100/'Annual Operational Data'!I33,"")</f>
        <v>1.7643875855138562</v>
      </c>
      <c r="J55" s="4">
        <f>IFERROR(J15*100/'Annual Operational Data'!J33,"")</f>
        <v>1.8030775891616906</v>
      </c>
      <c r="K55" s="4">
        <f>IFERROR(K15*100/'Annual Operational Data'!K33,"")</f>
        <v>1.8277873313595829</v>
      </c>
      <c r="L55" s="4">
        <f>IFERROR(L15*100/'Annual Operational Data'!L33,"")</f>
        <v>2.5621303344561439</v>
      </c>
      <c r="M55" s="4">
        <f>IFERROR(M15*100/'Annual Operational Data'!M33,"")</f>
        <v>2.0057645990444981</v>
      </c>
    </row>
    <row r="56" spans="1:13" x14ac:dyDescent="0.3">
      <c r="A56" s="64" t="s">
        <v>0</v>
      </c>
      <c r="B56" s="61">
        <f>IFERROR((B55/A55)-1,0)</f>
        <v>0</v>
      </c>
      <c r="C56" s="61">
        <f t="shared" ref="C56:L56" si="201">IFERROR((C55/B55)-1,0)</f>
        <v>-9.3074001466202261E-2</v>
      </c>
      <c r="D56" s="61">
        <f t="shared" si="201"/>
        <v>-1.6705513587309762E-2</v>
      </c>
      <c r="E56" s="61">
        <f t="shared" si="201"/>
        <v>6.6344695326995495E-2</v>
      </c>
      <c r="F56" s="61">
        <f t="shared" si="201"/>
        <v>-3.458951759451212E-3</v>
      </c>
      <c r="G56" s="61">
        <f t="shared" si="201"/>
        <v>-0.18531096501631728</v>
      </c>
      <c r="H56" s="61">
        <f t="shared" si="201"/>
        <v>-3.3286153132904506E-2</v>
      </c>
      <c r="I56" s="61">
        <f t="shared" si="201"/>
        <v>-3.5918660846447681E-2</v>
      </c>
      <c r="J56" s="61">
        <f t="shared" si="201"/>
        <v>2.1928290566931352E-2</v>
      </c>
      <c r="K56" s="61">
        <f t="shared" si="201"/>
        <v>1.3704203494304901E-2</v>
      </c>
      <c r="L56" s="61">
        <f t="shared" si="201"/>
        <v>0.40176610839638904</v>
      </c>
      <c r="M56" s="61">
        <f>IFERROR((M55/J55)-1,0)</f>
        <v>0.11241169603635481</v>
      </c>
    </row>
    <row r="57" spans="1:13" x14ac:dyDescent="0.3">
      <c r="A57" s="64" t="str">
        <f>("Selling &amp; distribution charges per " &amp; 'Annual Operational Data'!$A$33 &amp;" [cents]")</f>
        <v>Selling &amp; distribution charges per ASMs [cents]</v>
      </c>
      <c r="B57" s="4">
        <f>IFERROR(B17*100/'Annual Operational Data'!B33,"")</f>
        <v>0.4078997102179665</v>
      </c>
      <c r="C57" s="4">
        <f>IFERROR(C17*100/'Annual Operational Data'!C33,"")</f>
        <v>0.92085464941318085</v>
      </c>
      <c r="D57" s="4">
        <f>IFERROR(D17*100/'Annual Operational Data'!D33,"")</f>
        <v>0.8964010168130937</v>
      </c>
      <c r="E57" s="4">
        <f>IFERROR(E17*100/'Annual Operational Data'!E33,"")</f>
        <v>0.89393784725766701</v>
      </c>
      <c r="F57" s="4">
        <f>IFERROR(F17*100/'Annual Operational Data'!F33,"")</f>
        <v>0.90947231658298255</v>
      </c>
      <c r="G57" s="4">
        <f>IFERROR(G17*100/'Annual Operational Data'!G33,"")</f>
        <v>0.75181461834279284</v>
      </c>
      <c r="H57" s="4">
        <f>IFERROR(H17*100/'Annual Operational Data'!H33,"")</f>
        <v>0.75814766085024698</v>
      </c>
      <c r="I57" s="4">
        <f>IFERROR(I17*100/'Annual Operational Data'!I33,"")</f>
        <v>0.75078266919182157</v>
      </c>
      <c r="J57" s="4">
        <f>IFERROR(J17*100/'Annual Operational Data'!J33,"")</f>
        <v>0.72790576010679564</v>
      </c>
      <c r="K57" s="4">
        <f>IFERROR(K17*100/'Annual Operational Data'!K33,"")</f>
        <v>0.77472654103214145</v>
      </c>
      <c r="L57" s="4">
        <f>IFERROR(L17*100/'Annual Operational Data'!L33,"")</f>
        <v>0.66838182637986365</v>
      </c>
      <c r="M57" s="4">
        <f>IFERROR(M17*100/'Annual Operational Data'!M33,"")</f>
        <v>0.66332372566825915</v>
      </c>
    </row>
    <row r="58" spans="1:13" x14ac:dyDescent="0.3">
      <c r="A58" s="64" t="s">
        <v>0</v>
      </c>
      <c r="B58" s="61">
        <f>IFERROR((B57/A57)-1,0)</f>
        <v>0</v>
      </c>
      <c r="C58" s="61">
        <f t="shared" ref="C58:L58" si="202">IFERROR((C57/B57)-1,0)</f>
        <v>1.2575516146385839</v>
      </c>
      <c r="D58" s="61">
        <f t="shared" si="202"/>
        <v>-2.6555366382382206E-2</v>
      </c>
      <c r="E58" s="61">
        <f t="shared" si="202"/>
        <v>-2.7478433304145566E-3</v>
      </c>
      <c r="F58" s="61">
        <f t="shared" si="202"/>
        <v>1.7377572023570265E-2</v>
      </c>
      <c r="G58" s="61">
        <f t="shared" si="202"/>
        <v>-0.17335073906650855</v>
      </c>
      <c r="H58" s="61">
        <f t="shared" si="202"/>
        <v>8.4236756680975411E-3</v>
      </c>
      <c r="I58" s="61">
        <f t="shared" si="202"/>
        <v>-9.7144554270149897E-3</v>
      </c>
      <c r="J58" s="61">
        <f t="shared" si="202"/>
        <v>-3.0470747426351363E-2</v>
      </c>
      <c r="K58" s="61">
        <f t="shared" si="202"/>
        <v>6.4322586097514067E-2</v>
      </c>
      <c r="L58" s="61">
        <f t="shared" si="202"/>
        <v>-0.13726742149636229</v>
      </c>
      <c r="M58" s="61">
        <f>IFERROR((M57/J57)-1,0)</f>
        <v>-8.8723071004495502E-2</v>
      </c>
    </row>
    <row r="59" spans="1:13" x14ac:dyDescent="0.3">
      <c r="A59" s="64" t="str">
        <f>("Other EBITDAR expenses [sub-total] per " &amp; 'Annual Operational Data'!$A$33 &amp;" [cents]")</f>
        <v>Other EBITDAR expenses [sub-total] per ASMs [cents]</v>
      </c>
      <c r="B59" s="4">
        <f>IFERROR(B19*100/'Annual Operational Data'!B33,"")</f>
        <v>3.7325185838478014</v>
      </c>
      <c r="C59" s="4">
        <f>IFERROR(C19*100/'Annual Operational Data'!C33,"")</f>
        <v>3.3599157387902499</v>
      </c>
      <c r="D59" s="4">
        <f>IFERROR(D19*100/'Annual Operational Data'!D33,"")</f>
        <v>3.533574157487104</v>
      </c>
      <c r="E59" s="4">
        <f>IFERROR(E19*100/'Annual Operational Data'!E33,"")</f>
        <v>3.3890890000437488</v>
      </c>
      <c r="F59" s="4">
        <f>IFERROR(F19*100/'Annual Operational Data'!F33,"")</f>
        <v>3.3225513946595568</v>
      </c>
      <c r="G59" s="4">
        <f>IFERROR(G19*100/'Annual Operational Data'!G33,"")</f>
        <v>4.5207800076665308</v>
      </c>
      <c r="H59" s="4">
        <f>IFERROR(H19*100/'Annual Operational Data'!H33,"")</f>
        <v>4.1994694044820227</v>
      </c>
      <c r="I59" s="4">
        <f>IFERROR(I19*100/'Annual Operational Data'!I33,"")</f>
        <v>4.116260194024659</v>
      </c>
      <c r="J59" s="4">
        <f>IFERROR(J19*100/'Annual Operational Data'!J33,"")</f>
        <v>3.8235347175869969</v>
      </c>
      <c r="K59" s="4">
        <f>IFERROR(K19*100/'Annual Operational Data'!K33,"")</f>
        <v>3.9968443632882442</v>
      </c>
      <c r="L59" s="4">
        <f>IFERROR(L19*100/'Annual Operational Data'!L33,"")</f>
        <v>6.4000212184706786</v>
      </c>
      <c r="M59" s="4">
        <f>IFERROR(M19*100/'Annual Operational Data'!M33,"")</f>
        <v>8.7298140324554829</v>
      </c>
    </row>
    <row r="60" spans="1:13" x14ac:dyDescent="0.3">
      <c r="A60" s="64" t="s">
        <v>0</v>
      </c>
      <c r="B60" s="61">
        <f>IFERROR((B59/A59)-1,0)</f>
        <v>0</v>
      </c>
      <c r="C60" s="61">
        <f t="shared" ref="C60:L60" si="203">IFERROR((C59/B59)-1,0)</f>
        <v>-9.9826119197359953E-2</v>
      </c>
      <c r="D60" s="61">
        <f t="shared" si="203"/>
        <v>5.1685349335391484E-2</v>
      </c>
      <c r="E60" s="61">
        <f t="shared" si="203"/>
        <v>-4.088923877180084E-2</v>
      </c>
      <c r="F60" s="61">
        <f t="shared" si="203"/>
        <v>-1.9632888184209052E-2</v>
      </c>
      <c r="G60" s="61">
        <f t="shared" si="203"/>
        <v>0.36063508752127205</v>
      </c>
      <c r="H60" s="61">
        <f t="shared" si="203"/>
        <v>-7.1074151504743832E-2</v>
      </c>
      <c r="I60" s="61">
        <f t="shared" si="203"/>
        <v>-1.9814219950871848E-2</v>
      </c>
      <c r="J60" s="61">
        <f t="shared" si="203"/>
        <v>-7.1114424900203144E-2</v>
      </c>
      <c r="K60" s="61">
        <f t="shared" si="203"/>
        <v>4.5327075207158396E-2</v>
      </c>
      <c r="L60" s="61">
        <f t="shared" si="203"/>
        <v>0.60126856008106278</v>
      </c>
      <c r="M60" s="61">
        <f>IFERROR((M59/J59)-1,0)</f>
        <v>1.2831789632512609</v>
      </c>
    </row>
    <row r="61" spans="1:13" x14ac:dyDescent="0.3">
      <c r="A61" s="64" t="str">
        <f>("Non-aircraft rental [IS] per " &amp; 'Annual Operational Data'!$A$33 &amp; " [cents]")</f>
        <v>Non-aircraft rental [IS] per ASMs [cents]</v>
      </c>
      <c r="B61" s="4">
        <f>IFERROR(B21*100/'Annual Operational Data'!B33,"")</f>
        <v>0</v>
      </c>
      <c r="C61" s="4">
        <f>IFERROR(C21*100/'Annual Operational Data'!C33,"")</f>
        <v>0</v>
      </c>
      <c r="D61" s="4">
        <f>IFERROR(D21*100/'Annual Operational Data'!D33,"")</f>
        <v>0</v>
      </c>
      <c r="E61" s="4">
        <f>IFERROR(E21*100/'Annual Operational Data'!E33,"")</f>
        <v>0</v>
      </c>
      <c r="F61" s="4">
        <f>IFERROR(F21*100/'Annual Operational Data'!F33,"")</f>
        <v>0</v>
      </c>
      <c r="G61" s="4">
        <f>IFERROR(G21*100/'Annual Operational Data'!G33,"")</f>
        <v>0</v>
      </c>
      <c r="H61" s="4">
        <f>IFERROR(H21*100/'Annual Operational Data'!H33,"")</f>
        <v>0</v>
      </c>
      <c r="I61" s="4">
        <f>IFERROR(I21*100/'Annual Operational Data'!I33,"")</f>
        <v>0</v>
      </c>
      <c r="J61" s="4">
        <f>IFERROR(J21*100/'Annual Operational Data'!J33,"")</f>
        <v>0</v>
      </c>
      <c r="K61" s="4">
        <f>IFERROR(K21*100/'Annual Operational Data'!K33,"")</f>
        <v>0</v>
      </c>
      <c r="L61" s="4">
        <f>IFERROR(L21*100/'Annual Operational Data'!L33,"")</f>
        <v>0</v>
      </c>
      <c r="M61" s="4">
        <f>IFERROR(M21*100/'Annual Operational Data'!M33,"")</f>
        <v>0</v>
      </c>
    </row>
    <row r="62" spans="1:13" x14ac:dyDescent="0.3">
      <c r="A62" s="64" t="s">
        <v>0</v>
      </c>
      <c r="B62" s="61">
        <f>IFERROR((B61/A61)-1,0)</f>
        <v>0</v>
      </c>
      <c r="C62" s="61">
        <f t="shared" ref="C62:L62" si="204">IFERROR((C61/B61)-1,0)</f>
        <v>0</v>
      </c>
      <c r="D62" s="61">
        <f t="shared" si="204"/>
        <v>0</v>
      </c>
      <c r="E62" s="61">
        <f t="shared" si="204"/>
        <v>0</v>
      </c>
      <c r="F62" s="61">
        <f t="shared" si="204"/>
        <v>0</v>
      </c>
      <c r="G62" s="61">
        <f t="shared" si="204"/>
        <v>0</v>
      </c>
      <c r="H62" s="61">
        <f t="shared" si="204"/>
        <v>0</v>
      </c>
      <c r="I62" s="61">
        <f t="shared" si="204"/>
        <v>0</v>
      </c>
      <c r="J62" s="61">
        <f t="shared" si="204"/>
        <v>0</v>
      </c>
      <c r="K62" s="61">
        <f t="shared" si="204"/>
        <v>0</v>
      </c>
      <c r="L62" s="61">
        <f t="shared" si="204"/>
        <v>0</v>
      </c>
      <c r="M62" s="61">
        <f>IFERROR((M61/J61)-1,0)</f>
        <v>0</v>
      </c>
    </row>
    <row r="63" spans="1:13" x14ac:dyDescent="0.3">
      <c r="A63" s="64" t="str">
        <f>("Charter &amp; capacity hire per " &amp; 'Annual Operational Data'!$A$33 &amp; " [cents]")</f>
        <v>Charter &amp; capacity hire per ASMs [cents]</v>
      </c>
      <c r="B63" s="4">
        <f>IFERROR(B23*100/'Annual Operational Data'!B33,"")</f>
        <v>1.4709588005543657</v>
      </c>
      <c r="C63" s="4">
        <f>IFERROR(C23*100/'Annual Operational Data'!C33,"")</f>
        <v>1.5091784532049353</v>
      </c>
      <c r="D63" s="4">
        <f>IFERROR(D23*100/'Annual Operational Data'!D33,"")</f>
        <v>1.5936018076677221</v>
      </c>
      <c r="E63" s="4">
        <f>IFERROR(E23*100/'Annual Operational Data'!E33,"")</f>
        <v>1.6376708033774225</v>
      </c>
      <c r="F63" s="4">
        <f>IFERROR(F23*100/'Annual Operational Data'!F33,"")</f>
        <v>1.5996968425611391</v>
      </c>
      <c r="G63" s="4">
        <f>IFERROR(G23*100/'Annual Operational Data'!G33,"")</f>
        <v>2.8180682815842513</v>
      </c>
      <c r="H63" s="4">
        <f>IFERROR(H23*100/'Annual Operational Data'!H33,"")</f>
        <v>2.596898388801415</v>
      </c>
      <c r="I63" s="4">
        <f>IFERROR(I23*100/'Annual Operational Data'!I33,"")</f>
        <v>2.5286978703667917</v>
      </c>
      <c r="J63" s="4">
        <f>IFERROR(J23*100/'Annual Operational Data'!J33,"")</f>
        <v>2.2621903920047624</v>
      </c>
      <c r="K63" s="4">
        <f>IFERROR(K23*100/'Annual Operational Data'!K33,"")</f>
        <v>2.1637385430886238</v>
      </c>
      <c r="L63" s="4">
        <f>IFERROR(L23*100/'Annual Operational Data'!L33,"")</f>
        <v>2.8804073946370314</v>
      </c>
      <c r="M63" s="4">
        <f>IFERROR(M23*100/'Annual Operational Data'!M33,"")</f>
        <v>3.7311959568839579</v>
      </c>
    </row>
    <row r="64" spans="1:13" x14ac:dyDescent="0.3">
      <c r="A64" s="64" t="s">
        <v>0</v>
      </c>
      <c r="B64" s="61">
        <f>IFERROR((B63/A63)-1,0)</f>
        <v>0</v>
      </c>
      <c r="C64" s="61">
        <f t="shared" ref="C64:L64" si="205">IFERROR((C63/B63)-1,0)</f>
        <v>2.5982816538550058E-2</v>
      </c>
      <c r="D64" s="61">
        <f t="shared" si="205"/>
        <v>5.593994155131421E-2</v>
      </c>
      <c r="E64" s="61">
        <f t="shared" si="205"/>
        <v>2.7653705899215009E-2</v>
      </c>
      <c r="F64" s="61">
        <f t="shared" si="205"/>
        <v>-2.3187786420792555E-2</v>
      </c>
      <c r="G64" s="61">
        <f t="shared" si="205"/>
        <v>0.76162645734330559</v>
      </c>
      <c r="H64" s="61">
        <f t="shared" si="205"/>
        <v>-7.848280122527751E-2</v>
      </c>
      <c r="I64" s="61">
        <f t="shared" si="205"/>
        <v>-2.6262297642727916E-2</v>
      </c>
      <c r="J64" s="61">
        <f t="shared" si="205"/>
        <v>-0.10539316756073036</v>
      </c>
      <c r="K64" s="61">
        <f t="shared" si="205"/>
        <v>-4.3520584856206579E-2</v>
      </c>
      <c r="L64" s="61">
        <f t="shared" si="205"/>
        <v>0.33121786078894733</v>
      </c>
      <c r="M64" s="61">
        <f>IFERROR((M63/J63)-1,0)</f>
        <v>0.64937308993579301</v>
      </c>
    </row>
    <row r="65" spans="1:13" x14ac:dyDescent="0.3">
      <c r="A65" s="64" t="str">
        <f>("Other operating expenses per " &amp; 'Annual Operational Data'!$A$33 &amp; " [cents]")</f>
        <v>Other operating expenses per ASMs [cents]</v>
      </c>
      <c r="B65" s="4">
        <f>IFERROR(B25*100/'Annual Operational Data'!B33,"")</f>
        <v>2.261559783293436</v>
      </c>
      <c r="C65" s="4">
        <f>IFERROR(C25*100/'Annual Operational Data'!C33,"")</f>
        <v>1.8507372855853146</v>
      </c>
      <c r="D65" s="4">
        <f>IFERROR(D25*100/'Annual Operational Data'!D33,"")</f>
        <v>1.9399723498193819</v>
      </c>
      <c r="E65" s="4">
        <f>IFERROR(E25*100/'Annual Operational Data'!E33,"")</f>
        <v>1.7514181966663265</v>
      </c>
      <c r="F65" s="4">
        <f>IFERROR(F25*100/'Annual Operational Data'!F33,"")</f>
        <v>1.722854552098418</v>
      </c>
      <c r="G65" s="4">
        <f>IFERROR(G25*100/'Annual Operational Data'!G33,"")</f>
        <v>1.7027117260822793</v>
      </c>
      <c r="H65" s="4">
        <f>IFERROR(H25*100/'Annual Operational Data'!H33,"")</f>
        <v>1.6025710156806074</v>
      </c>
      <c r="I65" s="4">
        <f>IFERROR(I25*100/'Annual Operational Data'!I33,"")</f>
        <v>1.5875623236578673</v>
      </c>
      <c r="J65" s="4">
        <f>IFERROR(J25*100/'Annual Operational Data'!J33,"")</f>
        <v>1.5613443255822343</v>
      </c>
      <c r="K65" s="4">
        <f>IFERROR(K25*100/'Annual Operational Data'!K33,"")</f>
        <v>1.8331058201996207</v>
      </c>
      <c r="L65" s="4">
        <f>IFERROR(L25*100/'Annual Operational Data'!L33,"")</f>
        <v>3.5196138238336472</v>
      </c>
      <c r="M65" s="4">
        <f>IFERROR(M25*100/'Annual Operational Data'!M33,"")</f>
        <v>4.9986180755715246</v>
      </c>
    </row>
    <row r="66" spans="1:13" x14ac:dyDescent="0.3">
      <c r="A66" s="64" t="s">
        <v>0</v>
      </c>
      <c r="B66" s="61">
        <f>IFERROR((B65/A65)-1,0)</f>
        <v>0</v>
      </c>
      <c r="C66" s="61">
        <f t="shared" ref="C66:L66" si="206">IFERROR((C65/B65)-1,0)</f>
        <v>-0.1816544938333905</v>
      </c>
      <c r="D66" s="61">
        <f t="shared" si="206"/>
        <v>4.8215954219480661E-2</v>
      </c>
      <c r="E66" s="61">
        <f t="shared" si="206"/>
        <v>-9.7194247727608318E-2</v>
      </c>
      <c r="F66" s="61">
        <f t="shared" si="206"/>
        <v>-1.6308865936346284E-2</v>
      </c>
      <c r="G66" s="61">
        <f t="shared" si="206"/>
        <v>-1.1691541802878791E-2</v>
      </c>
      <c r="H66" s="61">
        <f t="shared" si="206"/>
        <v>-5.8812486498864169E-2</v>
      </c>
      <c r="I66" s="61">
        <f t="shared" si="206"/>
        <v>-9.3653834219421528E-3</v>
      </c>
      <c r="J66" s="61">
        <f t="shared" si="206"/>
        <v>-1.6514626030696311E-2</v>
      </c>
      <c r="K66" s="61">
        <f t="shared" si="206"/>
        <v>0.17405609394714694</v>
      </c>
      <c r="L66" s="61">
        <f t="shared" si="206"/>
        <v>0.92002763018360278</v>
      </c>
      <c r="M66" s="61">
        <f>IFERROR((M65/J65)-1,0)</f>
        <v>2.2014834868071209</v>
      </c>
    </row>
    <row r="67" spans="1:13" x14ac:dyDescent="0.3">
      <c r="A67" s="64" t="str">
        <f>("Aircraft rental expense [IS] per " &amp; 'Annual Operational Data'!$A$33 &amp; " [cents]")</f>
        <v>Aircraft rental expense [IS] per ASMs [cents]</v>
      </c>
      <c r="B67" s="4">
        <f>IFERROR(B27*100/'Annual Operational Data'!B33,"")</f>
        <v>0.54491621519465794</v>
      </c>
      <c r="C67" s="4">
        <f>IFERROR(C27*100/'Annual Operational Data'!C33,"")</f>
        <v>0.50406259404152876</v>
      </c>
      <c r="D67" s="4">
        <f>IFERROR(D27*100/'Annual Operational Data'!D33,"")</f>
        <v>0.49948713374659948</v>
      </c>
      <c r="E67" s="4">
        <f>IFERROR(E27*100/'Annual Operational Data'!E33,"")</f>
        <v>0.46373937263937703</v>
      </c>
      <c r="F67" s="4">
        <f>IFERROR(F27*100/'Annual Operational Data'!F33,"")</f>
        <v>0.42360838555129993</v>
      </c>
      <c r="G67" s="4">
        <f>IFERROR(G27*100/'Annual Operational Data'!G33,"")</f>
        <v>0.43649763203125969</v>
      </c>
      <c r="H67" s="4">
        <f>IFERROR(H27*100/'Annual Operational Data'!H33,"")</f>
        <v>0.49824213273515516</v>
      </c>
      <c r="I67" s="4">
        <f>IFERROR(I27*100/'Annual Operational Data'!I33,"")</f>
        <v>0.48602790553859238</v>
      </c>
      <c r="J67" s="4">
        <f>IFERROR(J27*100/'Annual Operational Data'!J33,"")</f>
        <v>0</v>
      </c>
      <c r="K67" s="4">
        <f>IFERROR(K27*100/'Annual Operational Data'!K33,"")</f>
        <v>0</v>
      </c>
      <c r="L67" s="4">
        <f>IFERROR(L27*100/'Annual Operational Data'!L33,"")</f>
        <v>0</v>
      </c>
      <c r="M67" s="4">
        <f>IFERROR(M27*100/'Annual Operational Data'!M33,"")</f>
        <v>0</v>
      </c>
    </row>
    <row r="68" spans="1:13" x14ac:dyDescent="0.3">
      <c r="A68" s="64" t="s">
        <v>0</v>
      </c>
      <c r="B68" s="61">
        <f>IFERROR((B67/A67)-1,0)</f>
        <v>0</v>
      </c>
      <c r="C68" s="61">
        <f t="shared" ref="C68:L68" si="207">IFERROR((C67/B67)-1,0)</f>
        <v>-7.497229851847087E-2</v>
      </c>
      <c r="D68" s="61">
        <f t="shared" si="207"/>
        <v>-9.0771669015223821E-3</v>
      </c>
      <c r="E68" s="61">
        <f t="shared" si="207"/>
        <v>-7.1568932795290086E-2</v>
      </c>
      <c r="F68" s="61">
        <f t="shared" si="207"/>
        <v>-8.6537804326751955E-2</v>
      </c>
      <c r="G68" s="61">
        <f t="shared" si="207"/>
        <v>3.042726942995988E-2</v>
      </c>
      <c r="H68" s="61">
        <f t="shared" si="207"/>
        <v>0.1414543772358281</v>
      </c>
      <c r="I68" s="61">
        <f t="shared" si="207"/>
        <v>-2.4514641364252854E-2</v>
      </c>
      <c r="J68" s="61">
        <f t="shared" si="207"/>
        <v>-1</v>
      </c>
      <c r="K68" s="61">
        <f t="shared" si="207"/>
        <v>0</v>
      </c>
      <c r="L68" s="61">
        <f t="shared" si="207"/>
        <v>0</v>
      </c>
      <c r="M68" s="61">
        <f>IFERROR((M67/J67)-1,0)</f>
        <v>0</v>
      </c>
    </row>
    <row r="69" spans="1:13" x14ac:dyDescent="0.3">
      <c r="A69" s="64" t="str">
        <f>("Depreciation &amp; amortisation per " &amp; 'Annual Operational Data'!$A$33 &amp; " [cents]")</f>
        <v>Depreciation &amp; amortisation per ASMs [cents]</v>
      </c>
      <c r="B69" s="4">
        <f>IFERROR(B29*100/'Annual Operational Data'!B33,"")</f>
        <v>1.0693586997606148</v>
      </c>
      <c r="C69" s="4">
        <f>IFERROR(C29*100/'Annual Operational Data'!C33,"")</f>
        <v>1.0953957267529342</v>
      </c>
      <c r="D69" s="4">
        <f>IFERROR(D29*100/'Annual Operational Data'!D33,"")</f>
        <v>1.0078936805958167</v>
      </c>
      <c r="E69" s="4">
        <f>IFERROR(E29*100/'Annual Operational Data'!E33,"")</f>
        <v>0.84289735026905632</v>
      </c>
      <c r="F69" s="4">
        <f>IFERROR(F29*100/'Annual Operational Data'!F33,"")</f>
        <v>0.7348861129532136</v>
      </c>
      <c r="G69" s="4">
        <f>IFERROR(G29*100/'Annual Operational Data'!G33,"")</f>
        <v>0.80993186680021267</v>
      </c>
      <c r="H69" s="4">
        <f>IFERROR(H29*100/'Annual Operational Data'!H33,"")</f>
        <v>0.88001207859715724</v>
      </c>
      <c r="I69" s="4">
        <f>IFERROR(I29*100/'Annual Operational Data'!I33,"")</f>
        <v>0.92374289800177789</v>
      </c>
      <c r="J69" s="4">
        <f>IFERROR(J29*100/'Annual Operational Data'!J33,"")</f>
        <v>1.5487164685295762</v>
      </c>
      <c r="K69" s="4">
        <f>IFERROR(K29*100/'Annual Operational Data'!K33,"")</f>
        <v>1.7604198060524403</v>
      </c>
      <c r="L69" s="4">
        <f>IFERROR(L29*100/'Annual Operational Data'!L33,"")</f>
        <v>4.904119035620508</v>
      </c>
      <c r="M69" s="4">
        <f>IFERROR(M29*100/'Annual Operational Data'!M33,"")</f>
        <v>6.534528368934339</v>
      </c>
    </row>
    <row r="70" spans="1:13" x14ac:dyDescent="0.3">
      <c r="A70" s="64" t="s">
        <v>0</v>
      </c>
      <c r="B70" s="61">
        <f>IFERROR((B69/A69)-1,0)</f>
        <v>0</v>
      </c>
      <c r="C70" s="61">
        <f t="shared" ref="C70:L70" si="208">IFERROR((C69/B69)-1,0)</f>
        <v>2.4348263120829383E-2</v>
      </c>
      <c r="D70" s="61">
        <f t="shared" si="208"/>
        <v>-7.988167565387394E-2</v>
      </c>
      <c r="E70" s="61">
        <f t="shared" si="208"/>
        <v>-0.16370410242995348</v>
      </c>
      <c r="F70" s="61">
        <f t="shared" si="208"/>
        <v>-0.12814281274151007</v>
      </c>
      <c r="G70" s="61">
        <f t="shared" si="208"/>
        <v>0.10211888961327653</v>
      </c>
      <c r="H70" s="61">
        <f t="shared" si="208"/>
        <v>8.6526058140926843E-2</v>
      </c>
      <c r="I70" s="61">
        <f t="shared" si="208"/>
        <v>4.9693430883736012E-2</v>
      </c>
      <c r="J70" s="61">
        <f t="shared" si="208"/>
        <v>0.67656657699856604</v>
      </c>
      <c r="K70" s="61">
        <f t="shared" si="208"/>
        <v>0.13669599427961465</v>
      </c>
      <c r="L70" s="61">
        <f t="shared" si="208"/>
        <v>1.7857667919662235</v>
      </c>
      <c r="M70" s="61">
        <f>IFERROR((M69/J69)-1,0)</f>
        <v>3.2193187079223904</v>
      </c>
    </row>
    <row r="71" spans="1:13" x14ac:dyDescent="0.3">
      <c r="A71" s="14" t="str">
        <f>("Total Operating Costs per " &amp; 'Annual Operational Data'!$A$33 &amp; " [cents]")</f>
        <v>Total Operating Costs per ASMs [cents]</v>
      </c>
      <c r="B71" s="77">
        <f>IFERROR(B31*100/'Annual Operational Data'!B33,"")</f>
        <v>16.418357061862164</v>
      </c>
      <c r="C71" s="77">
        <f>IFERROR(C31*100/'Annual Operational Data'!C33,"")</f>
        <v>17.202828769184471</v>
      </c>
      <c r="D71" s="77">
        <f>IFERROR(D31*100/'Annual Operational Data'!D33,"")</f>
        <v>17.367583879647388</v>
      </c>
      <c r="E71" s="77">
        <f>IFERROR(E31*100/'Annual Operational Data'!E33,"")</f>
        <v>17.153981887915069</v>
      </c>
      <c r="F71" s="77">
        <f>IFERROR(F31*100/'Annual Operational Data'!F33,"")</f>
        <v>16.859072392372344</v>
      </c>
      <c r="G71" s="77">
        <f>IFERROR(G31*100/'Annual Operational Data'!G33,"")</f>
        <v>15.288545955905084</v>
      </c>
      <c r="H71" s="77">
        <f>IFERROR(H31*100/'Annual Operational Data'!H33,"")</f>
        <v>14.279705799883528</v>
      </c>
      <c r="I71" s="77">
        <f>IFERROR(I31*100/'Annual Operational Data'!I33,"")</f>
        <v>14.356665249487882</v>
      </c>
      <c r="J71" s="77">
        <f>IFERROR(J31*100/'Annual Operational Data'!J33,"")</f>
        <v>14.88914545487345</v>
      </c>
      <c r="K71" s="77">
        <f>IFERROR(K31*100/'Annual Operational Data'!K33,"")</f>
        <v>15.495417235449501</v>
      </c>
      <c r="L71" s="77">
        <f>IFERROR(L31*100/'Annual Operational Data'!L33,"")</f>
        <v>24.661167546349098</v>
      </c>
      <c r="M71" s="77">
        <f>IFERROR(M31*100/'Annual Operational Data'!M33,"")</f>
        <v>31.768468432897699</v>
      </c>
    </row>
    <row r="72" spans="1:13" x14ac:dyDescent="0.3">
      <c r="A72" s="64" t="s">
        <v>0</v>
      </c>
      <c r="B72" s="61">
        <f>IFERROR((B71/A71)-1,0)</f>
        <v>0</v>
      </c>
      <c r="C72" s="61">
        <f t="shared" ref="C72:L72" si="209">IFERROR((C71/B71)-1,0)</f>
        <v>4.7780158779987758E-2</v>
      </c>
      <c r="D72" s="61">
        <f t="shared" si="209"/>
        <v>9.5772103921678564E-3</v>
      </c>
      <c r="E72" s="61">
        <f t="shared" si="209"/>
        <v>-1.2298889310828787E-2</v>
      </c>
      <c r="F72" s="61">
        <f t="shared" si="209"/>
        <v>-1.7191897337287543E-2</v>
      </c>
      <c r="G72" s="61">
        <f t="shared" si="209"/>
        <v>-9.3156159479914402E-2</v>
      </c>
      <c r="H72" s="61">
        <f t="shared" si="209"/>
        <v>-6.5986664718229782E-2</v>
      </c>
      <c r="I72" s="61">
        <f t="shared" si="209"/>
        <v>5.3894282335271715E-3</v>
      </c>
      <c r="J72" s="61">
        <f t="shared" si="209"/>
        <v>3.7089407333263713E-2</v>
      </c>
      <c r="K72" s="61">
        <f t="shared" si="209"/>
        <v>4.0719044784239822E-2</v>
      </c>
      <c r="L72" s="61">
        <f t="shared" si="209"/>
        <v>0.59151361797026891</v>
      </c>
      <c r="M72" s="61">
        <f>IFERROR((M71/J71)-1,0)</f>
        <v>1.1336663362704527</v>
      </c>
    </row>
    <row r="73" spans="1:13" x14ac:dyDescent="0.3">
      <c r="A73" s="14" t="str">
        <f>("Total Operating Costs ex-fuel per " &amp; 'Annual Operational Data'!$A$33 &amp;" [cents]")</f>
        <v>Total Operating Costs ex-fuel per ASMs [cents]</v>
      </c>
      <c r="B73" s="77">
        <f>IFERROR(B33*100/'Annual Operational Data'!B33,"")</f>
        <v>12.241716013607157</v>
      </c>
      <c r="C73" s="77">
        <f>IFERROR(C33*100/'Annual Operational Data'!C33,"")</f>
        <v>12.124586217273547</v>
      </c>
      <c r="D73" s="77">
        <f>IFERROR(D33*100/'Annual Operational Data'!D33,"")</f>
        <v>12.073912203243694</v>
      </c>
      <c r="E73" s="77">
        <f>IFERROR(E33*100/'Annual Operational Data'!E33,"")</f>
        <v>12.00034999197935</v>
      </c>
      <c r="F73" s="77">
        <f>IFERROR(F33*100/'Annual Operational Data'!F33,"")</f>
        <v>11.787952198568123</v>
      </c>
      <c r="G73" s="77">
        <f>IFERROR(G33*100/'Annual Operational Data'!G33,"")</f>
        <v>12.241718292094818</v>
      </c>
      <c r="H73" s="77">
        <f>IFERROR(H33*100/'Annual Operational Data'!H33,"")</f>
        <v>11.821926967625046</v>
      </c>
      <c r="I73" s="77">
        <f>IFERROR(I33*100/'Annual Operational Data'!I33,"")</f>
        <v>11.52842731805357</v>
      </c>
      <c r="J73" s="77">
        <f>IFERROR(J33*100/'Annual Operational Data'!J33,"")</f>
        <v>11.309147980444861</v>
      </c>
      <c r="K73" s="77">
        <f>IFERROR(K33*100/'Annual Operational Data'!K33,"")</f>
        <v>12.072083252078643</v>
      </c>
      <c r="L73" s="77">
        <f>IFERROR(L33*100/'Annual Operational Data'!L33,"")</f>
        <v>21.154815266689653</v>
      </c>
      <c r="M73" s="77">
        <f>IFERROR(M33*100/'Annual Operational Data'!M33,"")</f>
        <v>27.433174082994434</v>
      </c>
    </row>
    <row r="74" spans="1:13" x14ac:dyDescent="0.3">
      <c r="A74" s="64" t="s">
        <v>0</v>
      </c>
      <c r="B74" s="61">
        <f>IFERROR((B73/A73)-1,0)</f>
        <v>0</v>
      </c>
      <c r="C74" s="61">
        <f t="shared" ref="C74:L74" si="210">IFERROR((C73/B73)-1,0)</f>
        <v>-9.5680863862072085E-3</v>
      </c>
      <c r="D74" s="61">
        <f t="shared" si="210"/>
        <v>-4.1794427555523761E-3</v>
      </c>
      <c r="E74" s="61">
        <f t="shared" si="210"/>
        <v>-6.0926574606514627E-3</v>
      </c>
      <c r="F74" s="61">
        <f t="shared" si="210"/>
        <v>-1.7699299899851861E-2</v>
      </c>
      <c r="G74" s="61">
        <f t="shared" si="210"/>
        <v>3.8494056124677378E-2</v>
      </c>
      <c r="H74" s="61">
        <f t="shared" si="210"/>
        <v>-3.4291862829489816E-2</v>
      </c>
      <c r="I74" s="61">
        <f t="shared" si="210"/>
        <v>-2.4826718213979859E-2</v>
      </c>
      <c r="J74" s="61">
        <f t="shared" si="210"/>
        <v>-1.902075032084527E-2</v>
      </c>
      <c r="K74" s="61">
        <f t="shared" si="210"/>
        <v>6.7461781643763707E-2</v>
      </c>
      <c r="L74" s="61">
        <f t="shared" si="210"/>
        <v>0.75237486562620326</v>
      </c>
      <c r="M74" s="61">
        <f>IFERROR((M73/J73)-1,0)</f>
        <v>1.4257507400584313</v>
      </c>
    </row>
    <row r="75" spans="1:13" x14ac:dyDescent="0.3">
      <c r="A75" s="64"/>
      <c r="B75" s="63"/>
      <c r="C75" s="218"/>
      <c r="D75" s="218"/>
      <c r="E75" s="218"/>
      <c r="F75" s="218"/>
      <c r="G75" s="218"/>
      <c r="H75" s="218"/>
      <c r="I75" s="218"/>
      <c r="J75" s="218"/>
      <c r="K75" s="218"/>
      <c r="L75" s="218"/>
      <c r="M75" s="218"/>
    </row>
    <row r="76" spans="1:13" x14ac:dyDescent="0.3">
      <c r="A76" s="64" t="s">
        <v>285</v>
      </c>
      <c r="B76" s="21" t="str">
        <f>IFERROR(B9*1000000/'Annual Operational Data'!B16, "N/A")</f>
        <v>N/A</v>
      </c>
      <c r="C76" s="21">
        <f>IFERROR(C9*1000000/'Annual Operational Data'!C16, "N/A")</f>
        <v>84723.404255319154</v>
      </c>
      <c r="D76" s="21">
        <f>IFERROR(D9*1000000/'Annual Operational Data'!D16, "N/A")</f>
        <v>83228.511530398318</v>
      </c>
      <c r="E76" s="21">
        <f>IFERROR(E9*1000000/'Annual Operational Data'!E16, "N/A")</f>
        <v>89278.350515463913</v>
      </c>
      <c r="F76" s="21">
        <f>IFERROR(F9*1000000/'Annual Operational Data'!F16, "N/A")</f>
        <v>93333.333333333328</v>
      </c>
      <c r="G76" s="21">
        <f>IFERROR(G9*1000000/'Annual Operational Data'!G16, "N/A")</f>
        <v>94279.918864097359</v>
      </c>
      <c r="H76" s="21">
        <f>IFERROR(H9*1000000/'Annual Operational Data'!H16, "N/A")</f>
        <v>98431.372549019608</v>
      </c>
      <c r="I76" s="21">
        <f>IFERROR(I9*1000000/'Annual Operational Data'!I16, "N/A")</f>
        <v>99109.461966604824</v>
      </c>
      <c r="J76" s="21">
        <f>IFERROR(J9*1000000/'Annual Operational Data'!J16, "N/A")</f>
        <v>99584.055459272102</v>
      </c>
      <c r="K76" s="21">
        <f>IFERROR(K9*1000000/'Annual Operational Data'!K16, "N/A")</f>
        <v>101401.27388535033</v>
      </c>
      <c r="L76" s="21">
        <f>IFERROR(L9*1000000/'Annual Operational Data'!L16, "N/A")</f>
        <v>67222.222222222219</v>
      </c>
      <c r="M76" s="21">
        <f>IFERROR(M9*1000000/'Annual Operational Data'!M16, "N/A")</f>
        <v>46294.022617124392</v>
      </c>
    </row>
    <row r="77" spans="1:13" x14ac:dyDescent="0.3">
      <c r="A77" s="64" t="s">
        <v>0</v>
      </c>
      <c r="B77" s="63"/>
      <c r="C77" s="61">
        <f t="shared" ref="C77:G77" si="211">IFERROR((C76/B76)-1,0)</f>
        <v>0</v>
      </c>
      <c r="D77" s="61">
        <f t="shared" si="211"/>
        <v>-1.7644389269532712E-2</v>
      </c>
      <c r="E77" s="61">
        <f t="shared" si="211"/>
        <v>7.2689501155573932E-2</v>
      </c>
      <c r="F77" s="61">
        <f t="shared" si="211"/>
        <v>4.5419553502694443E-2</v>
      </c>
      <c r="G77" s="61">
        <f t="shared" si="211"/>
        <v>1.0141987829614507E-2</v>
      </c>
      <c r="H77" s="61">
        <f t="shared" ref="H77" si="212">IFERROR((H76/G76)-1,0)</f>
        <v>4.403327596098694E-2</v>
      </c>
      <c r="I77" s="61">
        <f t="shared" ref="I77" si="213">IFERROR((I76/H76)-1,0)</f>
        <v>6.8889562344314204E-3</v>
      </c>
      <c r="J77" s="61">
        <f t="shared" ref="J77:L77" si="214">IFERROR((J76/I76)-1,0)</f>
        <v>4.788579044321617E-3</v>
      </c>
      <c r="K77" s="61">
        <f t="shared" si="214"/>
        <v>1.8248086179031286E-2</v>
      </c>
      <c r="L77" s="61">
        <f t="shared" si="214"/>
        <v>-0.33706728084868798</v>
      </c>
      <c r="M77" s="61">
        <f t="shared" ref="M77" si="215">IFERROR((M76/J76)-1,0)</f>
        <v>-0.53512615645525985</v>
      </c>
    </row>
  </sheetData>
  <mergeCells count="1">
    <mergeCell ref="A1:M1"/>
  </mergeCells>
  <pageMargins left="0.70866141732283472" right="0.70866141732283472" top="0.74803149606299213" bottom="0.74803149606299213" header="0.31496062992125984" footer="0.31496062992125984"/>
  <pageSetup paperSize="9" scale="52" orientation="portrait" r:id="rId1"/>
  <headerFooter alignWithMargins="0"/>
  <ignoredErrors>
    <ignoredError sqref="B77:G77 B48 B11:B35 B50:B76"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sheetPr>
  <dimension ref="A1:AC77"/>
  <sheetViews>
    <sheetView view="pageBreakPreview" zoomScaleNormal="115" zoomScaleSheetLayoutView="100" workbookViewId="0">
      <pane xSplit="1" ySplit="7" topLeftCell="B8" activePane="bottomRight" state="frozen"/>
      <selection pane="topRight" activeCell="B1" sqref="B1"/>
      <selection pane="bottomLeft" activeCell="A8" sqref="A8"/>
      <selection pane="bottomRight" activeCell="C52" sqref="C52"/>
    </sheetView>
  </sheetViews>
  <sheetFormatPr defaultColWidth="8.88671875" defaultRowHeight="14.4" x14ac:dyDescent="0.3"/>
  <cols>
    <col min="1" max="1" width="55" style="13" bestFit="1" customWidth="1"/>
    <col min="2" max="10" width="10.44140625" style="13" bestFit="1" customWidth="1"/>
    <col min="11" max="12" width="10.44140625" style="13" customWidth="1"/>
    <col min="13" max="13" width="10.44140625" style="13" bestFit="1" customWidth="1"/>
    <col min="14" max="16384" width="8.88671875" style="13"/>
  </cols>
  <sheetData>
    <row r="1" spans="1:29" ht="28.8" x14ac:dyDescent="0.55000000000000004">
      <c r="A1" s="69" t="str">
        <f>(Inputs!E9 &amp;"  - Cost Analysis " &amp; Inputs!$E$19 )</f>
        <v>Air Canada  - Cost Analysis US$</v>
      </c>
      <c r="B1" s="69"/>
      <c r="C1" s="69"/>
      <c r="D1" s="69"/>
      <c r="E1" s="69"/>
      <c r="F1" s="69"/>
      <c r="G1" s="69"/>
      <c r="H1" s="69"/>
      <c r="I1" s="69"/>
      <c r="J1" s="69"/>
      <c r="K1" s="69"/>
      <c r="L1" s="69"/>
      <c r="M1" s="69"/>
    </row>
    <row r="2" spans="1:29" x14ac:dyDescent="0.3">
      <c r="A2" s="3"/>
      <c r="B2" s="3" t="s">
        <v>11</v>
      </c>
      <c r="C2" s="3" t="s">
        <v>11</v>
      </c>
      <c r="D2" s="3" t="s">
        <v>11</v>
      </c>
      <c r="E2" s="3" t="s">
        <v>11</v>
      </c>
      <c r="F2" s="3" t="s">
        <v>11</v>
      </c>
      <c r="G2" s="3" t="s">
        <v>11</v>
      </c>
      <c r="H2" s="3" t="s">
        <v>11</v>
      </c>
      <c r="I2" s="3" t="s">
        <v>11</v>
      </c>
      <c r="J2" s="3" t="s">
        <v>11</v>
      </c>
      <c r="K2" s="3" t="s">
        <v>11</v>
      </c>
      <c r="L2" s="3" t="s">
        <v>11</v>
      </c>
      <c r="M2" s="3" t="s">
        <v>268</v>
      </c>
      <c r="N2" s="16"/>
      <c r="O2" s="16"/>
      <c r="P2" s="16"/>
      <c r="Q2" s="16"/>
      <c r="R2" s="16"/>
      <c r="S2" s="16"/>
      <c r="T2" s="16"/>
      <c r="U2" s="16"/>
      <c r="V2" s="16"/>
      <c r="W2" s="16"/>
      <c r="X2" s="16"/>
      <c r="Y2" s="16"/>
      <c r="Z2" s="16"/>
      <c r="AA2" s="16"/>
      <c r="AB2" s="16"/>
      <c r="AC2" s="16"/>
    </row>
    <row r="3" spans="1:29" x14ac:dyDescent="0.3">
      <c r="A3" s="3"/>
      <c r="B3" s="7">
        <f>'Annual Operational Data'!B3</f>
        <v>40543</v>
      </c>
      <c r="C3" s="7">
        <f>'Annual Operational Data'!C3</f>
        <v>40908</v>
      </c>
      <c r="D3" s="7">
        <f>'Annual Operational Data'!D3</f>
        <v>41274</v>
      </c>
      <c r="E3" s="7">
        <f>'Annual Operational Data'!E3</f>
        <v>41639</v>
      </c>
      <c r="F3" s="7">
        <f>'Annual Operational Data'!F3</f>
        <v>42004</v>
      </c>
      <c r="G3" s="7">
        <f>'Annual Operational Data'!G3</f>
        <v>42369</v>
      </c>
      <c r="H3" s="7">
        <f>'Annual Operational Data'!H3</f>
        <v>42735</v>
      </c>
      <c r="I3" s="7">
        <f>'Annual Operational Data'!I3</f>
        <v>43100</v>
      </c>
      <c r="J3" s="7">
        <f>'Annual Operational Data'!J3</f>
        <v>43465</v>
      </c>
      <c r="K3" s="7">
        <f>'Annual Operational Data'!K3</f>
        <v>43830</v>
      </c>
      <c r="L3" s="7">
        <f>'Annual Operational Data'!L3</f>
        <v>44196</v>
      </c>
      <c r="M3" s="7">
        <f>'Annual Operational Data'!M3</f>
        <v>44469</v>
      </c>
      <c r="N3" s="16"/>
      <c r="O3" s="16"/>
      <c r="P3" s="16"/>
      <c r="Q3" s="16"/>
      <c r="R3" s="16"/>
      <c r="S3" s="16"/>
      <c r="T3" s="16"/>
      <c r="U3" s="16"/>
      <c r="V3" s="16"/>
      <c r="W3" s="16"/>
      <c r="X3" s="16"/>
      <c r="Y3" s="16"/>
      <c r="Z3" s="16"/>
      <c r="AA3" s="16"/>
      <c r="AB3" s="16"/>
      <c r="AC3" s="16"/>
    </row>
    <row r="4" spans="1:29" x14ac:dyDescent="0.3">
      <c r="A4" s="3"/>
      <c r="B4" s="3" t="s">
        <v>1</v>
      </c>
      <c r="C4" s="3" t="s">
        <v>1</v>
      </c>
      <c r="D4" s="3" t="s">
        <v>1</v>
      </c>
      <c r="E4" s="3" t="s">
        <v>1</v>
      </c>
      <c r="F4" s="3" t="s">
        <v>1</v>
      </c>
      <c r="G4" s="3" t="s">
        <v>1</v>
      </c>
      <c r="H4" s="3" t="s">
        <v>1</v>
      </c>
      <c r="I4" s="3" t="s">
        <v>1</v>
      </c>
      <c r="J4" s="3" t="s">
        <v>1</v>
      </c>
      <c r="K4" s="3" t="s">
        <v>1</v>
      </c>
      <c r="L4" s="3" t="s">
        <v>1</v>
      </c>
      <c r="M4" s="3" t="s">
        <v>1</v>
      </c>
      <c r="N4" s="16"/>
      <c r="O4" s="16"/>
      <c r="P4" s="16"/>
      <c r="Q4" s="16"/>
      <c r="R4" s="16"/>
      <c r="S4" s="16"/>
      <c r="T4" s="16"/>
      <c r="U4" s="16"/>
      <c r="V4" s="16"/>
      <c r="W4" s="16"/>
      <c r="X4" s="16"/>
      <c r="Y4" s="16"/>
      <c r="Z4" s="16"/>
      <c r="AA4" s="16"/>
      <c r="AB4" s="16"/>
      <c r="AC4" s="16"/>
    </row>
    <row r="5" spans="1:29" x14ac:dyDescent="0.3">
      <c r="A5" s="3"/>
      <c r="B5" s="3" t="str">
        <f>Inputs!$E$19</f>
        <v>US$</v>
      </c>
      <c r="C5" s="3" t="str">
        <f>Inputs!$E$19</f>
        <v>US$</v>
      </c>
      <c r="D5" s="3" t="str">
        <f>Inputs!$E$19</f>
        <v>US$</v>
      </c>
      <c r="E5" s="3" t="str">
        <f>Inputs!$E$19</f>
        <v>US$</v>
      </c>
      <c r="F5" s="3" t="str">
        <f>Inputs!$E$19</f>
        <v>US$</v>
      </c>
      <c r="G5" s="3" t="str">
        <f>Inputs!$E$19</f>
        <v>US$</v>
      </c>
      <c r="H5" s="3" t="str">
        <f>Inputs!$E$19</f>
        <v>US$</v>
      </c>
      <c r="I5" s="3" t="str">
        <f>Inputs!$E$19</f>
        <v>US$</v>
      </c>
      <c r="J5" s="3" t="str">
        <f>Inputs!$E$19</f>
        <v>US$</v>
      </c>
      <c r="K5" s="3" t="str">
        <f>Inputs!$E$19</f>
        <v>US$</v>
      </c>
      <c r="L5" s="3" t="str">
        <f>Inputs!$E$19</f>
        <v>US$</v>
      </c>
      <c r="M5" s="3" t="str">
        <f>Inputs!$E$19</f>
        <v>US$</v>
      </c>
      <c r="N5" s="16"/>
      <c r="O5" s="16"/>
      <c r="P5" s="16"/>
      <c r="Q5" s="16"/>
      <c r="R5" s="16"/>
      <c r="S5" s="16"/>
      <c r="T5" s="16"/>
      <c r="U5" s="16"/>
      <c r="V5" s="16"/>
      <c r="W5" s="16"/>
      <c r="X5" s="16"/>
      <c r="Y5" s="16"/>
      <c r="Z5" s="16"/>
      <c r="AA5" s="16"/>
      <c r="AB5" s="16"/>
      <c r="AC5" s="16"/>
    </row>
    <row r="6" spans="1:29" x14ac:dyDescent="0.3">
      <c r="A6" s="3"/>
      <c r="B6" s="3" t="str">
        <f>(Inputs!$E$19 &amp; " / " &amp;Inputs!$E$18)</f>
        <v>US$ / CAD</v>
      </c>
      <c r="C6" s="3" t="str">
        <f>(Inputs!$E$19 &amp; " / " &amp;Inputs!$E$18)</f>
        <v>US$ / CAD</v>
      </c>
      <c r="D6" s="3" t="str">
        <f>(Inputs!$E$19 &amp; " / " &amp;Inputs!$E$18)</f>
        <v>US$ / CAD</v>
      </c>
      <c r="E6" s="3" t="str">
        <f>(Inputs!$E$19 &amp; " / " &amp;Inputs!$E$18)</f>
        <v>US$ / CAD</v>
      </c>
      <c r="F6" s="3" t="str">
        <f>(Inputs!$E$19 &amp; " / " &amp;Inputs!$E$18)</f>
        <v>US$ / CAD</v>
      </c>
      <c r="G6" s="3" t="str">
        <f>(Inputs!$E$19 &amp; " / " &amp;Inputs!$E$18)</f>
        <v>US$ / CAD</v>
      </c>
      <c r="H6" s="3" t="str">
        <f>(Inputs!$E$19 &amp; " / " &amp;Inputs!$E$18)</f>
        <v>US$ / CAD</v>
      </c>
      <c r="I6" s="3" t="str">
        <f>(Inputs!$E$19 &amp; " / " &amp;Inputs!$E$18)</f>
        <v>US$ / CAD</v>
      </c>
      <c r="J6" s="3" t="str">
        <f>(Inputs!$E$19 &amp; " / " &amp;Inputs!$E$18)</f>
        <v>US$ / CAD</v>
      </c>
      <c r="K6" s="3" t="str">
        <f>(Inputs!$E$19 &amp; " / " &amp;Inputs!$E$18)</f>
        <v>US$ / CAD</v>
      </c>
      <c r="L6" s="3" t="str">
        <f>(Inputs!$E$19 &amp; " / " &amp;Inputs!$E$18)</f>
        <v>US$ / CAD</v>
      </c>
      <c r="M6" s="3" t="str">
        <f>(Inputs!$E$19 &amp; " / " &amp;Inputs!$E$18)</f>
        <v>US$ / CAD</v>
      </c>
      <c r="N6" s="16"/>
      <c r="O6" s="16"/>
      <c r="P6" s="16"/>
      <c r="Q6" s="16"/>
      <c r="R6" s="16"/>
      <c r="S6" s="16"/>
      <c r="T6" s="16"/>
      <c r="U6" s="16"/>
      <c r="V6" s="16"/>
      <c r="W6" s="16"/>
      <c r="X6" s="16"/>
      <c r="Y6" s="16"/>
      <c r="Z6" s="16"/>
      <c r="AA6" s="16"/>
      <c r="AB6" s="16"/>
      <c r="AC6" s="16"/>
    </row>
    <row r="7" spans="1:29" x14ac:dyDescent="0.3">
      <c r="A7" s="3"/>
      <c r="B7" s="83">
        <f>Inputs!E24</f>
        <v>1.0301899999999999</v>
      </c>
      <c r="C7" s="83">
        <f>Inputs!F24</f>
        <v>0.98882999999999999</v>
      </c>
      <c r="D7" s="83">
        <f>Inputs!G24</f>
        <v>0.99963999999999997</v>
      </c>
      <c r="E7" s="83">
        <f>Inputs!H24</f>
        <v>1.0298</v>
      </c>
      <c r="F7" s="83">
        <f>Inputs!I24</f>
        <v>1.0407</v>
      </c>
      <c r="G7" s="83">
        <f>Inputs!J24</f>
        <v>1.27763</v>
      </c>
      <c r="H7" s="83">
        <f>Inputs!K24</f>
        <v>1.32524</v>
      </c>
      <c r="I7" s="83">
        <f>Inputs!L24</f>
        <v>1.2981288461538452</v>
      </c>
      <c r="J7" s="83">
        <f>Inputs!M24</f>
        <v>1.2959680076628346</v>
      </c>
      <c r="K7" s="83">
        <f>Inputs!N24</f>
        <v>1.3269</v>
      </c>
      <c r="L7" s="83">
        <f>Inputs!O24</f>
        <v>1.31555</v>
      </c>
      <c r="M7" s="83">
        <f>Inputs!O24</f>
        <v>1.31555</v>
      </c>
      <c r="N7" s="16"/>
      <c r="O7" s="16"/>
      <c r="P7" s="16"/>
      <c r="Q7" s="16"/>
      <c r="R7" s="16"/>
      <c r="S7" s="16"/>
      <c r="T7" s="16"/>
      <c r="U7" s="16"/>
      <c r="V7" s="16"/>
      <c r="W7" s="16"/>
      <c r="X7" s="16"/>
      <c r="Y7" s="16"/>
      <c r="Z7" s="16"/>
      <c r="AA7" s="16"/>
      <c r="AB7" s="16"/>
      <c r="AC7" s="16"/>
    </row>
    <row r="8" spans="1:29" x14ac:dyDescent="0.3">
      <c r="A8" s="8" t="s">
        <v>284</v>
      </c>
      <c r="B8" s="10"/>
      <c r="C8" s="10"/>
      <c r="D8" s="10"/>
      <c r="E8" s="10"/>
      <c r="F8" s="10"/>
      <c r="G8" s="10"/>
      <c r="H8" s="10"/>
      <c r="I8" s="10"/>
      <c r="J8" s="10"/>
      <c r="K8" s="10"/>
      <c r="L8" s="10"/>
      <c r="M8" s="10"/>
    </row>
    <row r="9" spans="1:29" x14ac:dyDescent="0.3">
      <c r="A9" s="85" t="s">
        <v>15</v>
      </c>
      <c r="B9" s="21">
        <f>-'Annual Income Statement US$'!B15</f>
        <v>1829.7595589163166</v>
      </c>
      <c r="C9" s="21">
        <f>-'Annual Income Statement US$'!C15</f>
        <v>2013.4906910186787</v>
      </c>
      <c r="D9" s="21">
        <f>-'Annual Income Statement US$'!D15</f>
        <v>1985.7148573486456</v>
      </c>
      <c r="E9" s="21">
        <f>-'Annual Income Statement US$'!E15</f>
        <v>2102.3499708681297</v>
      </c>
      <c r="F9" s="21">
        <f>-'Annual Income Statement US$'!F15</f>
        <v>2192.7548765254155</v>
      </c>
      <c r="G9" s="21">
        <f>-'Annual Income Statement US$'!G15</f>
        <v>1818.9929791880277</v>
      </c>
      <c r="H9" s="21">
        <f>-'Annual Income Statement US$'!H15</f>
        <v>1893.9965591138209</v>
      </c>
      <c r="I9" s="21">
        <f>-'Annual Income Statement US$'!I15</f>
        <v>2057.5769561810134</v>
      </c>
      <c r="J9" s="21">
        <f>-'Annual Income Statement US$'!J15</f>
        <v>2216.8757122185489</v>
      </c>
      <c r="K9" s="21">
        <f>-'Annual Income Statement US$'!K15</f>
        <v>2399.5779636747307</v>
      </c>
      <c r="L9" s="21">
        <f>-'Annual Income Statement US$'!L15</f>
        <v>1379.651096499563</v>
      </c>
      <c r="M9" s="21">
        <f>-'Annual Income Statement US$'!M15</f>
        <v>1379.1775758509164</v>
      </c>
    </row>
    <row r="10" spans="1:29" x14ac:dyDescent="0.3">
      <c r="A10" s="85" t="s">
        <v>0</v>
      </c>
      <c r="B10" s="61">
        <f t="shared" ref="B10" si="0">IFERROR((B9/A9)-1,0)</f>
        <v>0</v>
      </c>
      <c r="C10" s="61">
        <f t="shared" ref="C10" si="1">IFERROR((C9/B9)-1,0)</f>
        <v>0.10041271882256364</v>
      </c>
      <c r="D10" s="61">
        <f t="shared" ref="D10" si="2">IFERROR((D9/C9)-1,0)</f>
        <v>-1.3794865699617631E-2</v>
      </c>
      <c r="E10" s="61">
        <f t="shared" ref="E10" si="3">IFERROR((E9/D9)-1,0)</f>
        <v>5.8737090618950605E-2</v>
      </c>
      <c r="F10" s="61">
        <f t="shared" ref="F10" si="4">IFERROR((F9/E9)-1,0)</f>
        <v>4.3001834570842057E-2</v>
      </c>
      <c r="G10" s="61">
        <f t="shared" ref="G10" si="5">IFERROR((G9/F9)-1,0)</f>
        <v>-0.17045311418011377</v>
      </c>
      <c r="H10" s="61">
        <f t="shared" ref="H10" si="6">IFERROR((H9/G9)-1,0)</f>
        <v>4.1233573072543495E-2</v>
      </c>
      <c r="I10" s="61">
        <f t="shared" ref="I10" si="7">IFERROR((I9/H9)-1,0)</f>
        <v>8.6367842792560268E-2</v>
      </c>
      <c r="J10" s="61">
        <f t="shared" ref="J10:L10" si="8">IFERROR((J9/I9)-1,0)</f>
        <v>7.7420557981560778E-2</v>
      </c>
      <c r="K10" s="61">
        <f t="shared" si="8"/>
        <v>8.2414296141727128E-2</v>
      </c>
      <c r="L10" s="61">
        <f t="shared" si="8"/>
        <v>-0.42504427137397294</v>
      </c>
      <c r="M10" s="61">
        <f t="shared" ref="M10" si="9">IFERROR((M9/J9)-1,0)</f>
        <v>-0.37787329788069268</v>
      </c>
    </row>
    <row r="11" spans="1:29" x14ac:dyDescent="0.3">
      <c r="A11" s="85" t="s">
        <v>16</v>
      </c>
      <c r="B11" s="21">
        <f>-'Annual Income Statement US$'!B16</f>
        <v>2574.2824139236454</v>
      </c>
      <c r="C11" s="21">
        <f>-'Annual Income Statement US$'!C16</f>
        <v>3413.1246018021297</v>
      </c>
      <c r="D11" s="21">
        <f>-'Annual Income Statement US$'!D16</f>
        <v>3562.2824216718018</v>
      </c>
      <c r="E11" s="21">
        <f>-'Annual Income Statement US$'!E16</f>
        <v>3431.7343173431732</v>
      </c>
      <c r="F11" s="21">
        <f>-'Annual Income Statement US$'!F16</f>
        <v>3600.4612280196025</v>
      </c>
      <c r="G11" s="21">
        <f>-'Annual Income Statement US$'!G16</f>
        <v>1928.5708695005596</v>
      </c>
      <c r="H11" s="21">
        <f>-'Annual Income Statement US$'!H16</f>
        <v>1719.6885092511545</v>
      </c>
      <c r="I11" s="21">
        <f>-'Annual Income Statement US$'!I16</f>
        <v>2254.783882718767</v>
      </c>
      <c r="J11" s="21">
        <f>-'Annual Income Statement US$'!J16</f>
        <v>3062.5756010426103</v>
      </c>
      <c r="K11" s="21">
        <f>-'Annual Income Statement US$'!K16</f>
        <v>2910.5433717687843</v>
      </c>
      <c r="L11" s="21">
        <f>-'Annual Income Statement US$'!L16</f>
        <v>1004.9028923264034</v>
      </c>
      <c r="M11" s="21">
        <f>-'Annual Income Statement US$'!M16</f>
        <v>845.5259510241799</v>
      </c>
    </row>
    <row r="12" spans="1:29" x14ac:dyDescent="0.3">
      <c r="A12" s="85" t="s">
        <v>0</v>
      </c>
      <c r="B12" s="61">
        <f t="shared" ref="B12" si="10">IFERROR((B11/A11)-1,0)</f>
        <v>0</v>
      </c>
      <c r="C12" s="61">
        <f t="shared" ref="C12" si="11">IFERROR((C11/B11)-1,0)</f>
        <v>0.32585476377471179</v>
      </c>
      <c r="D12" s="61">
        <f t="shared" ref="D12" si="12">IFERROR((D11/C11)-1,0)</f>
        <v>4.3701252450882411E-2</v>
      </c>
      <c r="E12" s="61">
        <f t="shared" ref="E12" si="13">IFERROR((E11/D11)-1,0)</f>
        <v>-3.6647320137902395E-2</v>
      </c>
      <c r="F12" s="61">
        <f t="shared" ref="F12" si="14">IFERROR((F11/E11)-1,0)</f>
        <v>4.9166658917540129E-2</v>
      </c>
      <c r="G12" s="61">
        <f t="shared" ref="G12" si="15">IFERROR((G11/F11)-1,0)</f>
        <v>-0.46435449589291911</v>
      </c>
      <c r="H12" s="61">
        <f t="shared" ref="H12" si="16">IFERROR((H11/G11)-1,0)</f>
        <v>-0.10830940337883421</v>
      </c>
      <c r="I12" s="61">
        <f t="shared" ref="I12" si="17">IFERROR((I11/H11)-1,0)</f>
        <v>0.31115831186231624</v>
      </c>
      <c r="J12" s="61">
        <f t="shared" ref="J12:L12" si="18">IFERROR((J11/I11)-1,0)</f>
        <v>0.35825682652557655</v>
      </c>
      <c r="K12" s="61">
        <f t="shared" si="18"/>
        <v>-4.964195144180894E-2</v>
      </c>
      <c r="L12" s="61">
        <f t="shared" si="18"/>
        <v>-0.65473701506268656</v>
      </c>
      <c r="M12" s="61">
        <f t="shared" ref="M12" si="19">IFERROR((M11/J11)-1,0)</f>
        <v>-0.72391670895035776</v>
      </c>
    </row>
    <row r="13" spans="1:29" x14ac:dyDescent="0.3">
      <c r="A13" s="85" t="s">
        <v>17</v>
      </c>
      <c r="B13" s="12">
        <f>-'Annual Income Statement US$'!B17</f>
        <v>657.16032964792907</v>
      </c>
      <c r="C13" s="12">
        <f>-'Annual Income Statement US$'!C17</f>
        <v>688.69269743029645</v>
      </c>
      <c r="D13" s="12">
        <f>-'Annual Income Statement US$'!D17</f>
        <v>672.24200712256413</v>
      </c>
      <c r="E13" s="12">
        <f>-'Annual Income Statement US$'!E17</f>
        <v>613.71140027189745</v>
      </c>
      <c r="F13" s="12">
        <f>-'Annual Income Statement US$'!F17</f>
        <v>699.52916306332281</v>
      </c>
      <c r="G13" s="12">
        <f>-'Annual Income Statement US$'!G17</f>
        <v>605.02649436847912</v>
      </c>
      <c r="H13" s="12">
        <f>-'Annual Income Statement US$'!H17</f>
        <v>664.03066614349098</v>
      </c>
      <c r="I13" s="12">
        <f>-'Annual Income Statement US$'!I17</f>
        <v>722.57850426723724</v>
      </c>
      <c r="J13" s="12">
        <f>-'Annual Income Statement US$'!J17</f>
        <v>696.77645949646694</v>
      </c>
      <c r="K13" s="12">
        <f>-'Annual Income Statement US$'!K17</f>
        <v>756.65084030446906</v>
      </c>
      <c r="L13" s="12">
        <f>-'Annual Income Statement US$'!L17</f>
        <v>517.6542130667782</v>
      </c>
      <c r="M13" s="12">
        <f>-'Annual Income Statement US$'!M17</f>
        <v>473.58693978130293</v>
      </c>
    </row>
    <row r="14" spans="1:29" x14ac:dyDescent="0.3">
      <c r="A14" s="85" t="s">
        <v>0</v>
      </c>
      <c r="B14" s="61">
        <f t="shared" ref="B14" si="20">IFERROR((B13/A13)-1,0)</f>
        <v>0</v>
      </c>
      <c r="C14" s="61">
        <f t="shared" ref="C14" si="21">IFERROR((C13/B13)-1,0)</f>
        <v>4.7982762135475587E-2</v>
      </c>
      <c r="D14" s="61">
        <f t="shared" ref="D14" si="22">IFERROR((D13/C13)-1,0)</f>
        <v>-2.3886837146835482E-2</v>
      </c>
      <c r="E14" s="61">
        <f t="shared" ref="E14" si="23">IFERROR((E13/D13)-1,0)</f>
        <v>-8.7067761655060139E-2</v>
      </c>
      <c r="F14" s="61">
        <f t="shared" ref="F14" si="24">IFERROR((F13/E13)-1,0)</f>
        <v>0.13983406981425617</v>
      </c>
      <c r="G14" s="61">
        <f t="shared" ref="G14" si="25">IFERROR((G13/F13)-1,0)</f>
        <v>-0.13509468037187333</v>
      </c>
      <c r="H14" s="61">
        <f t="shared" ref="H14" si="26">IFERROR((H13/G13)-1,0)</f>
        <v>9.7523285879570931E-2</v>
      </c>
      <c r="I14" s="61">
        <f t="shared" ref="I14" si="27">IFERROR((I13/H13)-1,0)</f>
        <v>8.8170382948992598E-2</v>
      </c>
      <c r="J14" s="61">
        <f t="shared" ref="J14:L14" si="28">IFERROR((J13/I13)-1,0)</f>
        <v>-3.5708292757665183E-2</v>
      </c>
      <c r="K14" s="61">
        <f t="shared" si="28"/>
        <v>8.5930544856912983E-2</v>
      </c>
      <c r="L14" s="61">
        <f t="shared" si="28"/>
        <v>-0.3158611799618446</v>
      </c>
      <c r="M14" s="61">
        <f t="shared" ref="M14" si="29">IFERROR((M13/J13)-1,0)</f>
        <v>-0.32031725049444748</v>
      </c>
    </row>
    <row r="15" spans="1:29" x14ac:dyDescent="0.3">
      <c r="A15" s="85" t="s">
        <v>18</v>
      </c>
      <c r="B15" s="12">
        <f>-'Annual Income Statement US$'!B18</f>
        <v>1511.3716887176154</v>
      </c>
      <c r="C15" s="12">
        <f>-'Annual Income Statement US$'!C18</f>
        <v>1494.695751544755</v>
      </c>
      <c r="D15" s="12">
        <f>-'Annual Income Statement US$'!D18</f>
        <v>1471.5297507102557</v>
      </c>
      <c r="E15" s="12">
        <f>-'Annual Income Statement US$'!E18</f>
        <v>1552.7286851815886</v>
      </c>
      <c r="F15" s="12">
        <f>-'Annual Income Statement US$'!F18</f>
        <v>1649.8510617853369</v>
      </c>
      <c r="G15" s="12">
        <f>-'Annual Income Statement US$'!G18</f>
        <v>1198.312500489187</v>
      </c>
      <c r="H15" s="12">
        <f>-'Annual Income Statement US$'!H18</f>
        <v>1280.5227732335275</v>
      </c>
      <c r="I15" s="12">
        <f>-'Annual Income Statement US$'!I18</f>
        <v>1406.6400306950695</v>
      </c>
      <c r="J15" s="12">
        <f>-'Annual Income Statement US$'!J18</f>
        <v>1542.4763483205286</v>
      </c>
      <c r="K15" s="12">
        <f>-'Annual Income Statement US$'!K18</f>
        <v>1553.9980405456326</v>
      </c>
      <c r="L15" s="12">
        <f>-'Annual Income Statement US$'!L18</f>
        <v>734.29364144274257</v>
      </c>
      <c r="M15" s="12">
        <f>-'Annual Income Statement US$'!M18</f>
        <v>391.19051286000308</v>
      </c>
    </row>
    <row r="16" spans="1:29" x14ac:dyDescent="0.3">
      <c r="A16" s="85" t="s">
        <v>0</v>
      </c>
      <c r="B16" s="61">
        <f t="shared" ref="B16" si="30">IFERROR((B15/A15)-1,0)</f>
        <v>0</v>
      </c>
      <c r="C16" s="61">
        <f t="shared" ref="C16" si="31">IFERROR((C15/B15)-1,0)</f>
        <v>-1.1033644005208121E-2</v>
      </c>
      <c r="D16" s="61">
        <f t="shared" ref="D16" si="32">IFERROR((D15/C15)-1,0)</f>
        <v>-1.5498806904721163E-2</v>
      </c>
      <c r="E16" s="61">
        <f t="shared" ref="E16" si="33">IFERROR((E15/D15)-1,0)</f>
        <v>5.5179947556032172E-2</v>
      </c>
      <c r="F16" s="61">
        <f t="shared" ref="F16" si="34">IFERROR((F15/E15)-1,0)</f>
        <v>6.2549483068505385E-2</v>
      </c>
      <c r="G16" s="61">
        <f t="shared" ref="G16" si="35">IFERROR((G15/F15)-1,0)</f>
        <v>-0.27368443840471945</v>
      </c>
      <c r="H16" s="61">
        <f t="shared" ref="H16" si="36">IFERROR((H15/G15)-1,0)</f>
        <v>6.8605036424788768E-2</v>
      </c>
      <c r="I16" s="61">
        <f t="shared" ref="I16" si="37">IFERROR((I15/H15)-1,0)</f>
        <v>9.8488882898252195E-2</v>
      </c>
      <c r="J16" s="61">
        <f t="shared" ref="J16:L16" si="38">IFERROR((J15/I15)-1,0)</f>
        <v>9.6567931141798624E-2</v>
      </c>
      <c r="K16" s="61">
        <f t="shared" si="38"/>
        <v>7.4696070624675759E-3</v>
      </c>
      <c r="L16" s="61">
        <f t="shared" si="38"/>
        <v>-0.52748097340912947</v>
      </c>
      <c r="M16" s="61">
        <f t="shared" ref="M16" si="39">IFERROR((M15/J15)-1,0)</f>
        <v>-0.74638799921571752</v>
      </c>
    </row>
    <row r="17" spans="1:13" x14ac:dyDescent="0.3">
      <c r="A17" s="85" t="s">
        <v>19</v>
      </c>
      <c r="B17" s="12">
        <f>-'Annual Income Statement US$'!B19</f>
        <v>251.40993408982811</v>
      </c>
      <c r="C17" s="12">
        <f>-'Annual Income Statement US$'!C19</f>
        <v>618.91326112678621</v>
      </c>
      <c r="D17" s="12">
        <f>-'Annual Income Statement US$'!D19</f>
        <v>603.21715817694371</v>
      </c>
      <c r="E17" s="12">
        <f>-'Annual Income Statement US$'!E19</f>
        <v>595.26121577005244</v>
      </c>
      <c r="F17" s="12">
        <f>-'Annual Income Statement US$'!F19</f>
        <v>645.71922744306721</v>
      </c>
      <c r="G17" s="12">
        <f>-'Annual Income Statement US$'!G19</f>
        <v>475.88112364299519</v>
      </c>
      <c r="H17" s="12">
        <f>-'Annual Income Statement US$'!H19</f>
        <v>530.46995261235702</v>
      </c>
      <c r="I17" s="12">
        <f>-'Annual Income Statement US$'!I19</f>
        <v>598.55383562435327</v>
      </c>
      <c r="J17" s="12">
        <f>-'Annual Income Statement US$'!J19</f>
        <v>622.70055682574616</v>
      </c>
      <c r="K17" s="12">
        <f>-'Annual Income Statement US$'!K19</f>
        <v>658.67812193835255</v>
      </c>
      <c r="L17" s="12">
        <f>-'Annual Income Statement US$'!L19</f>
        <v>191.55486298506329</v>
      </c>
      <c r="M17" s="12">
        <f>-'Annual Income Statement US$'!M19</f>
        <v>129.37009086708764</v>
      </c>
    </row>
    <row r="18" spans="1:13" x14ac:dyDescent="0.3">
      <c r="A18" s="85" t="s">
        <v>0</v>
      </c>
      <c r="B18" s="61">
        <f t="shared" ref="B18" si="40">IFERROR((B17/A17)-1,0)</f>
        <v>0</v>
      </c>
      <c r="C18" s="61">
        <f t="shared" ref="C18" si="41">IFERROR((C17/B17)-1,0)</f>
        <v>1.4617693145953816</v>
      </c>
      <c r="D18" s="61">
        <f t="shared" ref="D18" si="42">IFERROR((D17/C17)-1,0)</f>
        <v>-2.5360747516164683E-2</v>
      </c>
      <c r="E18" s="61">
        <f t="shared" ref="E18" si="43">IFERROR((E17/D17)-1,0)</f>
        <v>-1.3189184523424213E-2</v>
      </c>
      <c r="F18" s="61">
        <f t="shared" ref="F18" si="44">IFERROR((F17/E17)-1,0)</f>
        <v>8.4766167081355093E-2</v>
      </c>
      <c r="G18" s="61">
        <f t="shared" ref="G18" si="45">IFERROR((G17/F17)-1,0)</f>
        <v>-0.26302159914395085</v>
      </c>
      <c r="H18" s="61">
        <f t="shared" ref="H18" si="46">IFERROR((H17/G17)-1,0)</f>
        <v>0.11471106176994361</v>
      </c>
      <c r="I18" s="61">
        <f t="shared" ref="I18" si="47">IFERROR((I17/H17)-1,0)</f>
        <v>0.12834635152605678</v>
      </c>
      <c r="J18" s="61">
        <f t="shared" ref="J18:L18" si="48">IFERROR((J17/I17)-1,0)</f>
        <v>4.0341770053491377E-2</v>
      </c>
      <c r="K18" s="61">
        <f t="shared" si="48"/>
        <v>5.7776670854454037E-2</v>
      </c>
      <c r="L18" s="61">
        <f t="shared" si="48"/>
        <v>-0.70918289737427864</v>
      </c>
      <c r="M18" s="61">
        <f t="shared" ref="M18" si="49">IFERROR((M17/J17)-1,0)</f>
        <v>-0.79224349577177267</v>
      </c>
    </row>
    <row r="19" spans="1:13" x14ac:dyDescent="0.3">
      <c r="A19" s="85" t="s">
        <v>20</v>
      </c>
      <c r="B19" s="12">
        <f>-'Annual Income Statement US$'!B20</f>
        <v>2300.5465011308597</v>
      </c>
      <c r="C19" s="12">
        <f>-'Annual Income Statement US$'!C20</f>
        <v>2258.2243661701204</v>
      </c>
      <c r="D19" s="12">
        <f>-'Annual Income Statement US$'!D20</f>
        <v>2377.8560281701411</v>
      </c>
      <c r="E19" s="12">
        <f>-'Annual Income Statement US$'!E20</f>
        <v>2256.7488832783065</v>
      </c>
      <c r="F19" s="12">
        <f>-'Annual Income Statement US$'!F20</f>
        <v>2358.9891419237056</v>
      </c>
      <c r="G19" s="12">
        <f>-'Annual Income Statement US$'!G20</f>
        <v>2861.548335590116</v>
      </c>
      <c r="H19" s="12">
        <f>-'Annual Income Statement US$'!H20</f>
        <v>2938.3356976849473</v>
      </c>
      <c r="I19" s="12">
        <f>-'Annual Income Statement US$'!I20</f>
        <v>3281.6465119173035</v>
      </c>
      <c r="J19" s="12">
        <f>-'Annual Income Statement US$'!J20</f>
        <v>3270.9140773040126</v>
      </c>
      <c r="K19" s="12">
        <f>-'Annual Income Statement US$'!K20</f>
        <v>3398.146054713995</v>
      </c>
      <c r="L19" s="12">
        <f>-'Annual Income Statement US$'!L20</f>
        <v>1834.2138269164989</v>
      </c>
      <c r="M19" s="12">
        <f>-'Annual Income Statement US$'!M20</f>
        <v>1702.6028030186353</v>
      </c>
    </row>
    <row r="20" spans="1:13" x14ac:dyDescent="0.3">
      <c r="A20" s="85" t="s">
        <v>0</v>
      </c>
      <c r="B20" s="61">
        <f t="shared" ref="B20" si="50">IFERROR((B19/A19)-1,0)</f>
        <v>0</v>
      </c>
      <c r="C20" s="61">
        <f t="shared" ref="C20" si="51">IFERROR((C19/B19)-1,0)</f>
        <v>-1.8396557052828721E-2</v>
      </c>
      <c r="D20" s="61">
        <f t="shared" ref="D20" si="52">IFERROR((D19/C19)-1,0)</f>
        <v>5.2975985819740501E-2</v>
      </c>
      <c r="E20" s="61">
        <f t="shared" ref="E20" si="53">IFERROR((E19/D19)-1,0)</f>
        <v>-5.0931235304868983E-2</v>
      </c>
      <c r="F20" s="61">
        <f t="shared" ref="F20" si="54">IFERROR((F19/E19)-1,0)</f>
        <v>4.5304224764643797E-2</v>
      </c>
      <c r="G20" s="61">
        <f t="shared" ref="G20" si="55">IFERROR((G19/F19)-1,0)</f>
        <v>0.21304006226013583</v>
      </c>
      <c r="H20" s="61">
        <f t="shared" ref="H20" si="56">IFERROR((H19/G19)-1,0)</f>
        <v>2.6834200610836856E-2</v>
      </c>
      <c r="I20" s="61">
        <f t="shared" ref="I20" si="57">IFERROR((I19/H19)-1,0)</f>
        <v>0.11683852682416229</v>
      </c>
      <c r="J20" s="61">
        <f t="shared" ref="J20:L20" si="58">IFERROR((J19/I19)-1,0)</f>
        <v>-3.2704420096180131E-3</v>
      </c>
      <c r="K20" s="61">
        <f t="shared" si="58"/>
        <v>3.8897988269643191E-2</v>
      </c>
      <c r="L20" s="61">
        <f t="shared" si="58"/>
        <v>-0.4602310208614987</v>
      </c>
      <c r="M20" s="61">
        <f t="shared" ref="M20" si="59">IFERROR((M19/J19)-1,0)</f>
        <v>-0.47947186542363329</v>
      </c>
    </row>
    <row r="21" spans="1:13" x14ac:dyDescent="0.3">
      <c r="A21" s="85" t="s">
        <v>21</v>
      </c>
      <c r="B21" s="12">
        <f>-'Annual Income Statement US$'!B21</f>
        <v>0</v>
      </c>
      <c r="C21" s="12">
        <f>-'Annual Income Statement US$'!C21</f>
        <v>0</v>
      </c>
      <c r="D21" s="12">
        <f>-'Annual Income Statement US$'!D21</f>
        <v>0</v>
      </c>
      <c r="E21" s="12">
        <f>-'Annual Income Statement US$'!E21</f>
        <v>0</v>
      </c>
      <c r="F21" s="12">
        <f>-'Annual Income Statement US$'!F21</f>
        <v>0</v>
      </c>
      <c r="G21" s="12">
        <f>-'Annual Income Statement US$'!G21</f>
        <v>0</v>
      </c>
      <c r="H21" s="12">
        <f>-'Annual Income Statement US$'!H21</f>
        <v>0</v>
      </c>
      <c r="I21" s="12">
        <f>-'Annual Income Statement US$'!I21</f>
        <v>0</v>
      </c>
      <c r="J21" s="12">
        <f>-'Annual Income Statement US$'!J21</f>
        <v>0</v>
      </c>
      <c r="K21" s="12">
        <f>-'Annual Income Statement US$'!K21</f>
        <v>0</v>
      </c>
      <c r="L21" s="12">
        <f>-'Annual Income Statement US$'!L21</f>
        <v>0</v>
      </c>
      <c r="M21" s="12">
        <f>-'Annual Income Statement US$'!M21</f>
        <v>0</v>
      </c>
    </row>
    <row r="22" spans="1:13" x14ac:dyDescent="0.3">
      <c r="A22" s="85" t="s">
        <v>0</v>
      </c>
      <c r="B22" s="61">
        <f t="shared" ref="B22" si="60">IFERROR((B21/A21)-1,0)</f>
        <v>0</v>
      </c>
      <c r="C22" s="61">
        <f t="shared" ref="C22" si="61">IFERROR((C21/B21)-1,0)</f>
        <v>0</v>
      </c>
      <c r="D22" s="61">
        <f t="shared" ref="D22" si="62">IFERROR((D21/C21)-1,0)</f>
        <v>0</v>
      </c>
      <c r="E22" s="61">
        <f t="shared" ref="E22" si="63">IFERROR((E21/D21)-1,0)</f>
        <v>0</v>
      </c>
      <c r="F22" s="61">
        <f t="shared" ref="F22" si="64">IFERROR((F21/E21)-1,0)</f>
        <v>0</v>
      </c>
      <c r="G22" s="61">
        <f t="shared" ref="G22" si="65">IFERROR((G21/F21)-1,0)</f>
        <v>0</v>
      </c>
      <c r="H22" s="61">
        <f t="shared" ref="H22" si="66">IFERROR((H21/G21)-1,0)</f>
        <v>0</v>
      </c>
      <c r="I22" s="61">
        <f t="shared" ref="I22" si="67">IFERROR((I21/H21)-1,0)</f>
        <v>0</v>
      </c>
      <c r="J22" s="61">
        <f t="shared" ref="J22:L22" si="68">IFERROR((J21/I21)-1,0)</f>
        <v>0</v>
      </c>
      <c r="K22" s="61">
        <f t="shared" si="68"/>
        <v>0</v>
      </c>
      <c r="L22" s="61">
        <f t="shared" si="68"/>
        <v>0</v>
      </c>
      <c r="M22" s="61">
        <f t="shared" ref="M22" si="69">IFERROR((M21/J21)-1,0)</f>
        <v>0</v>
      </c>
    </row>
    <row r="23" spans="1:13" x14ac:dyDescent="0.3">
      <c r="A23" s="85" t="s">
        <v>22</v>
      </c>
      <c r="B23" s="12">
        <f>-'Annual Income Statement US$'!B22</f>
        <v>906.62887428532611</v>
      </c>
      <c r="C23" s="12">
        <f>-'Annual Income Statement US$'!C22</f>
        <v>1014.3300668466774</v>
      </c>
      <c r="D23" s="12">
        <f>-'Annual Income Statement US$'!D22</f>
        <v>1072.3860589812332</v>
      </c>
      <c r="E23" s="12">
        <f>-'Annual Income Statement US$'!E22</f>
        <v>1090.5030102932608</v>
      </c>
      <c r="F23" s="12">
        <f>-'Annual Income Statement US$'!F22</f>
        <v>1135.7739982703949</v>
      </c>
      <c r="G23" s="12">
        <f>-'Annual Income Statement US$'!G22</f>
        <v>1783.7715144447141</v>
      </c>
      <c r="H23" s="12">
        <f>-'Annual Income Statement US$'!H22</f>
        <v>1817.0293682653707</v>
      </c>
      <c r="I23" s="12">
        <f>-'Annual Income Statement US$'!I22</f>
        <v>2015.9786201144561</v>
      </c>
      <c r="J23" s="12">
        <f>-'Annual Income Statement US$'!J22</f>
        <v>1935.2329572725791</v>
      </c>
      <c r="K23" s="12">
        <f>-'Annual Income Statement US$'!K22</f>
        <v>1839.6261963976185</v>
      </c>
      <c r="L23" s="12">
        <f>-'Annual Income Statement US$'!L22</f>
        <v>825.51024286420125</v>
      </c>
      <c r="M23" s="12">
        <f>-'Annual Income Statement US$'!M22</f>
        <v>727.70676112736794</v>
      </c>
    </row>
    <row r="24" spans="1:13" x14ac:dyDescent="0.3">
      <c r="A24" s="85" t="s">
        <v>0</v>
      </c>
      <c r="B24" s="61">
        <f t="shared" ref="B24" si="70">IFERROR((B23/A23)-1,0)</f>
        <v>0</v>
      </c>
      <c r="C24" s="61">
        <f t="shared" ref="C24" si="71">IFERROR((C23/B23)-1,0)</f>
        <v>0.11879303165393829</v>
      </c>
      <c r="D24" s="61">
        <f t="shared" ref="D24" si="72">IFERROR((D23/C23)-1,0)</f>
        <v>5.7235799304499402E-2</v>
      </c>
      <c r="E24" s="61">
        <f t="shared" ref="E24" si="73">IFERROR((E23/D23)-1,0)</f>
        <v>1.6894057098465698E-2</v>
      </c>
      <c r="F24" s="61">
        <f t="shared" ref="F24" si="74">IFERROR((F23/E23)-1,0)</f>
        <v>4.1513858787936453E-2</v>
      </c>
      <c r="G24" s="61">
        <f t="shared" ref="G24" si="75">IFERROR((G23/F23)-1,0)</f>
        <v>0.57053385370779508</v>
      </c>
      <c r="H24" s="61">
        <f t="shared" ref="H24" si="76">IFERROR((H23/G23)-1,0)</f>
        <v>1.8644682657694478E-2</v>
      </c>
      <c r="I24" s="61">
        <f t="shared" ref="I24" si="77">IFERROR((I23/H23)-1,0)</f>
        <v>0.10949148941880482</v>
      </c>
      <c r="J24" s="61">
        <f t="shared" ref="J24:L24" si="78">IFERROR((J23/I23)-1,0)</f>
        <v>-4.0052836888365806E-2</v>
      </c>
      <c r="K24" s="61">
        <f t="shared" si="78"/>
        <v>-4.940323102480848E-2</v>
      </c>
      <c r="L24" s="61">
        <f t="shared" si="78"/>
        <v>-0.55126196589245857</v>
      </c>
      <c r="M24" s="61">
        <f t="shared" ref="M24" si="79">IFERROR((M23/J23)-1,0)</f>
        <v>-0.62396942528667887</v>
      </c>
    </row>
    <row r="25" spans="1:13" x14ac:dyDescent="0.3">
      <c r="A25" s="85" t="s">
        <v>23</v>
      </c>
      <c r="B25" s="12">
        <f>-'Annual Income Statement US$'!B23</f>
        <v>1393.9176268455335</v>
      </c>
      <c r="C25" s="12">
        <f>-'Annual Income Statement US$'!C23</f>
        <v>1243.894299323443</v>
      </c>
      <c r="D25" s="12">
        <f>-'Annual Income Statement US$'!D23</f>
        <v>1305.469969188908</v>
      </c>
      <c r="E25" s="12">
        <f>-'Annual Income Statement US$'!E23</f>
        <v>1166.2458729850455</v>
      </c>
      <c r="F25" s="12">
        <f>-'Annual Income Statement US$'!F23</f>
        <v>1223.2151436533104</v>
      </c>
      <c r="G25" s="12">
        <f>-'Annual Income Statement US$'!G23</f>
        <v>1077.776821145402</v>
      </c>
      <c r="H25" s="12">
        <f>-'Annual Income Statement US$'!H23</f>
        <v>1121.3063294195767</v>
      </c>
      <c r="I25" s="12">
        <f>-'Annual Income Statement US$'!I23</f>
        <v>1265.6678918028474</v>
      </c>
      <c r="J25" s="12">
        <f>-'Annual Income Statement US$'!J23</f>
        <v>1335.6811200314332</v>
      </c>
      <c r="K25" s="12">
        <f>-'Annual Income Statement US$'!K23</f>
        <v>1558.5198583163765</v>
      </c>
      <c r="L25" s="12">
        <f>-'Annual Income Statement US$'!L23</f>
        <v>1008.7035840522975</v>
      </c>
      <c r="M25" s="12">
        <f>-'Annual Income Statement US$'!M23</f>
        <v>974.89604189126749</v>
      </c>
    </row>
    <row r="26" spans="1:13" x14ac:dyDescent="0.3">
      <c r="A26" s="85" t="s">
        <v>0</v>
      </c>
      <c r="B26" s="61">
        <f t="shared" ref="B26" si="80">IFERROR((B25/A25)-1,0)</f>
        <v>0</v>
      </c>
      <c r="C26" s="61">
        <f t="shared" ref="C26" si="81">IFERROR((C25/B25)-1,0)</f>
        <v>-0.10762711126739721</v>
      </c>
      <c r="D26" s="61">
        <f t="shared" ref="D26" si="82">IFERROR((D25/C25)-1,0)</f>
        <v>4.950233303501439E-2</v>
      </c>
      <c r="E26" s="61">
        <f t="shared" ref="E26" si="83">IFERROR((E25/D25)-1,0)</f>
        <v>-0.10664672454347057</v>
      </c>
      <c r="F26" s="61">
        <f t="shared" ref="F26" si="84">IFERROR((F25/E25)-1,0)</f>
        <v>4.8848422093404897E-2</v>
      </c>
      <c r="G26" s="61">
        <f t="shared" ref="G26" si="85">IFERROR((G25/F25)-1,0)</f>
        <v>-0.11889839924114709</v>
      </c>
      <c r="H26" s="61">
        <f t="shared" ref="H26" si="86">IFERROR((H25/G25)-1,0)</f>
        <v>4.038823940184022E-2</v>
      </c>
      <c r="I26" s="61">
        <f t="shared" ref="I26" si="87">IFERROR((I25/H25)-1,0)</f>
        <v>0.1287440894568006</v>
      </c>
      <c r="J26" s="61">
        <f t="shared" ref="J26:L26" si="88">IFERROR((J25/I25)-1,0)</f>
        <v>5.5317219218429692E-2</v>
      </c>
      <c r="K26" s="61">
        <f t="shared" si="88"/>
        <v>0.16683528346923038</v>
      </c>
      <c r="L26" s="61">
        <f t="shared" si="88"/>
        <v>-0.35278105141247895</v>
      </c>
      <c r="M26" s="61">
        <f t="shared" ref="M26" si="89">IFERROR((M25/J25)-1,0)</f>
        <v>-0.27011318250247873</v>
      </c>
    </row>
    <row r="27" spans="1:13" x14ac:dyDescent="0.3">
      <c r="A27" s="85" t="s">
        <v>26</v>
      </c>
      <c r="B27" s="12">
        <f>-'Annual Income Statement US$'!B27</f>
        <v>335.86037527058119</v>
      </c>
      <c r="C27" s="12">
        <f>-'Annual Income Statement US$'!C27</f>
        <v>338.78421973443363</v>
      </c>
      <c r="D27" s="12">
        <f>-'Annual Income Statement US$'!D27</f>
        <v>336.12100356128207</v>
      </c>
      <c r="E27" s="12">
        <f>-'Annual Income Statement US$'!E27</f>
        <v>308.79782482035347</v>
      </c>
      <c r="F27" s="12">
        <f>-'Annual Income Statement US$'!F27</f>
        <v>300.75910444892861</v>
      </c>
      <c r="G27" s="12">
        <f>-'Annual Income Statement US$'!G27</f>
        <v>276.29282343088374</v>
      </c>
      <c r="H27" s="12">
        <f>-'Annual Income Statement US$'!H27</f>
        <v>348.61609972533279</v>
      </c>
      <c r="I27" s="12">
        <f>-'Annual Income Statement US$'!I27</f>
        <v>387.48079706441399</v>
      </c>
      <c r="J27" s="12">
        <f>-'Annual Income Statement US$'!J27</f>
        <v>0</v>
      </c>
      <c r="K27" s="12">
        <f>-'Annual Income Statement US$'!K27</f>
        <v>0</v>
      </c>
      <c r="L27" s="12">
        <f>-'Annual Income Statement US$'!L27</f>
        <v>0</v>
      </c>
      <c r="M27" s="12">
        <f>-'Annual Income Statement US$'!M27</f>
        <v>0</v>
      </c>
    </row>
    <row r="28" spans="1:13" x14ac:dyDescent="0.3">
      <c r="A28" s="85" t="s">
        <v>0</v>
      </c>
      <c r="B28" s="61">
        <f t="shared" ref="B28" si="90">IFERROR((B27/A27)-1,0)</f>
        <v>0</v>
      </c>
      <c r="C28" s="61">
        <f t="shared" ref="C28" si="91">IFERROR((C27/B27)-1,0)</f>
        <v>8.7055356306824372E-3</v>
      </c>
      <c r="D28" s="61">
        <f t="shared" ref="D28" si="92">IFERROR((D27/C27)-1,0)</f>
        <v>-7.8610986522312798E-3</v>
      </c>
      <c r="E28" s="61">
        <f t="shared" ref="E28" si="93">IFERROR((E27/D27)-1,0)</f>
        <v>-8.1289709513636454E-2</v>
      </c>
      <c r="F28" s="61">
        <f t="shared" ref="F28" si="94">IFERROR((F27/E27)-1,0)</f>
        <v>-2.6032308926079661E-2</v>
      </c>
      <c r="G28" s="61">
        <f t="shared" ref="G28" si="95">IFERROR((G27/F27)-1,0)</f>
        <v>-8.1348430209199019E-2</v>
      </c>
      <c r="H28" s="61">
        <f t="shared" ref="H28" si="96">IFERROR((H27/G27)-1,0)</f>
        <v>0.26176313737132273</v>
      </c>
      <c r="I28" s="61">
        <f t="shared" ref="I28" si="97">IFERROR((I27/H27)-1,0)</f>
        <v>0.11148279545810391</v>
      </c>
      <c r="J28" s="61">
        <f t="shared" ref="J28:L28" si="98">IFERROR((J27/I27)-1,0)</f>
        <v>-1</v>
      </c>
      <c r="K28" s="61">
        <f t="shared" si="98"/>
        <v>0</v>
      </c>
      <c r="L28" s="61">
        <f t="shared" si="98"/>
        <v>0</v>
      </c>
      <c r="M28" s="61">
        <f t="shared" ref="M28" si="99">IFERROR((M27/J27)-1,0)</f>
        <v>0</v>
      </c>
    </row>
    <row r="29" spans="1:13" x14ac:dyDescent="0.3">
      <c r="A29" s="85" t="s">
        <v>28</v>
      </c>
      <c r="B29" s="12">
        <f>-'Annual Income Statement US$'!B29</f>
        <v>659.10171910036013</v>
      </c>
      <c r="C29" s="12">
        <f>-'Annual Income Statement US$'!C29</f>
        <v>736.22361781094833</v>
      </c>
      <c r="D29" s="12">
        <f>-'Annual Income Statement US$'!D29</f>
        <v>678.24416790044415</v>
      </c>
      <c r="E29" s="12">
        <f>-'Annual Income Statement US$'!E29</f>
        <v>561.27403379296948</v>
      </c>
      <c r="F29" s="12">
        <f>-'Annual Income Statement US$'!F29</f>
        <v>521.76419717497845</v>
      </c>
      <c r="G29" s="12">
        <f>-'Annual Income Statement US$'!G29</f>
        <v>512.66798681934517</v>
      </c>
      <c r="H29" s="12">
        <f>-'Annual Income Statement US$'!H29</f>
        <v>615.7375267876007</v>
      </c>
      <c r="I29" s="12">
        <f>-'Annual Income Statement US$'!I29</f>
        <v>736.44461628942304</v>
      </c>
      <c r="J29" s="12">
        <f>-'Annual Income Statement US$'!J29</f>
        <v>1324.8783842252865</v>
      </c>
      <c r="K29" s="12">
        <f>-'Annual Income Statement US$'!K29</f>
        <v>1496.7216821162108</v>
      </c>
      <c r="L29" s="12">
        <f>-'Annual Income Statement US$'!L29</f>
        <v>1405.4958002356429</v>
      </c>
      <c r="M29" s="12">
        <f>-'Annual Income Statement US$'!M29</f>
        <v>1274.4494070537503</v>
      </c>
    </row>
    <row r="30" spans="1:13" x14ac:dyDescent="0.3">
      <c r="A30" s="85" t="s">
        <v>0</v>
      </c>
      <c r="B30" s="61">
        <f t="shared" ref="B30" si="100">IFERROR((B29/A29)-1,0)</f>
        <v>0</v>
      </c>
      <c r="C30" s="61">
        <f t="shared" ref="C30" si="101">IFERROR((C29/B29)-1,0)</f>
        <v>0.11701061683749758</v>
      </c>
      <c r="D30" s="61">
        <f t="shared" ref="D30" si="102">IFERROR((D29/C29)-1,0)</f>
        <v>-7.8752499251378949E-2</v>
      </c>
      <c r="E30" s="61">
        <f t="shared" ref="E30" si="103">IFERROR((E29/D29)-1,0)</f>
        <v>-0.17246021365663122</v>
      </c>
      <c r="F30" s="61">
        <f t="shared" ref="F30" si="104">IFERROR((F29/E29)-1,0)</f>
        <v>-7.0393131053991587E-2</v>
      </c>
      <c r="G30" s="61">
        <f t="shared" ref="G30" si="105">IFERROR((G29/F29)-1,0)</f>
        <v>-1.7433565593199862E-2</v>
      </c>
      <c r="H30" s="61">
        <f t="shared" ref="H30" si="106">IFERROR((H29/G29)-1,0)</f>
        <v>0.20104539900708751</v>
      </c>
      <c r="I30" s="61">
        <f t="shared" ref="I30" si="107">IFERROR((I29/H29)-1,0)</f>
        <v>0.19603659717082733</v>
      </c>
      <c r="J30" s="61">
        <f t="shared" ref="J30:L30" si="108">IFERROR((J29/I29)-1,0)</f>
        <v>0.79901971569931174</v>
      </c>
      <c r="K30" s="61">
        <f t="shared" si="108"/>
        <v>0.12970496004537702</v>
      </c>
      <c r="L30" s="61">
        <f t="shared" si="108"/>
        <v>-6.0950464585763031E-2</v>
      </c>
      <c r="M30" s="61">
        <f t="shared" ref="M30" si="109">IFERROR((M29/J29)-1,0)</f>
        <v>-3.8063099052690896E-2</v>
      </c>
    </row>
    <row r="31" spans="1:13" x14ac:dyDescent="0.3">
      <c r="A31" s="14" t="s">
        <v>283</v>
      </c>
      <c r="B31" s="79">
        <f t="shared" ref="B31:M31" si="110">(B9+B11+B13+B15+B17+B19+B27+B29)</f>
        <v>10119.492520797134</v>
      </c>
      <c r="C31" s="79">
        <f t="shared" si="110"/>
        <v>11562.149206638149</v>
      </c>
      <c r="D31" s="79">
        <f t="shared" si="110"/>
        <v>11687.207394662079</v>
      </c>
      <c r="E31" s="79">
        <f t="shared" si="110"/>
        <v>11422.606331326471</v>
      </c>
      <c r="F31" s="79">
        <f t="shared" si="110"/>
        <v>11969.828000384357</v>
      </c>
      <c r="G31" s="79">
        <f t="shared" si="110"/>
        <v>9677.2931130295947</v>
      </c>
      <c r="H31" s="79">
        <f t="shared" si="110"/>
        <v>9991.3977845522313</v>
      </c>
      <c r="I31" s="79">
        <f t="shared" si="110"/>
        <v>11445.705134757582</v>
      </c>
      <c r="J31" s="79">
        <f t="shared" si="110"/>
        <v>12737.197139433201</v>
      </c>
      <c r="K31" s="79">
        <f t="shared" ref="K31:L31" si="111">(K9+K11+K13+K15+K17+K19+K27+K29)</f>
        <v>13174.316075062176</v>
      </c>
      <c r="L31" s="79">
        <f t="shared" si="111"/>
        <v>7067.7663334726931</v>
      </c>
      <c r="M31" s="79">
        <f t="shared" si="110"/>
        <v>6195.9032804558747</v>
      </c>
    </row>
    <row r="32" spans="1:13" x14ac:dyDescent="0.3">
      <c r="A32" s="85" t="s">
        <v>0</v>
      </c>
      <c r="B32" s="61">
        <f t="shared" ref="B32" si="112">IFERROR((B31/A31)-1,0)</f>
        <v>0</v>
      </c>
      <c r="C32" s="61">
        <f t="shared" ref="C32" si="113">IFERROR((C31/B31)-1,0)</f>
        <v>0.14256215742796696</v>
      </c>
      <c r="D32" s="61">
        <f t="shared" ref="D32" si="114">IFERROR((D31/C31)-1,0)</f>
        <v>1.0816171439141264E-2</v>
      </c>
      <c r="E32" s="61">
        <f t="shared" ref="E32" si="115">IFERROR((E31/D31)-1,0)</f>
        <v>-2.2640229988256988E-2</v>
      </c>
      <c r="F32" s="61">
        <f t="shared" ref="F32" si="116">IFERROR((F31/E31)-1,0)</f>
        <v>4.7906900858268431E-2</v>
      </c>
      <c r="G32" s="61">
        <f t="shared" ref="G32" si="117">IFERROR((G31/F31)-1,0)</f>
        <v>-0.19152613448423383</v>
      </c>
      <c r="H32" s="61">
        <f t="shared" ref="H32" si="118">IFERROR((H31/G31)-1,0)</f>
        <v>3.2457906136967418E-2</v>
      </c>
      <c r="I32" s="61">
        <f t="shared" ref="I32" si="119">IFERROR((I31/H31)-1,0)</f>
        <v>0.14555594538072181</v>
      </c>
      <c r="J32" s="61">
        <f t="shared" ref="J32:L32" si="120">IFERROR((J31/I31)-1,0)</f>
        <v>0.11283638617892566</v>
      </c>
      <c r="K32" s="61">
        <f t="shared" si="120"/>
        <v>3.4318298668369884E-2</v>
      </c>
      <c r="L32" s="61">
        <f t="shared" si="120"/>
        <v>-0.46351929821606797</v>
      </c>
      <c r="M32" s="61">
        <f t="shared" ref="M32" si="121">IFERROR((M31/J31)-1,0)</f>
        <v>-0.51355834312449145</v>
      </c>
    </row>
    <row r="33" spans="1:13" x14ac:dyDescent="0.3">
      <c r="A33" s="14" t="s">
        <v>282</v>
      </c>
      <c r="B33" s="79">
        <f t="shared" ref="B33:M33" si="122">B31-B11</f>
        <v>7545.2101068734883</v>
      </c>
      <c r="C33" s="79">
        <f t="shared" si="122"/>
        <v>8149.0246048360186</v>
      </c>
      <c r="D33" s="79">
        <f t="shared" si="122"/>
        <v>8124.9249729902767</v>
      </c>
      <c r="E33" s="79">
        <f t="shared" si="122"/>
        <v>7990.8720139832985</v>
      </c>
      <c r="F33" s="79">
        <f t="shared" si="122"/>
        <v>8369.3667723647559</v>
      </c>
      <c r="G33" s="79">
        <f t="shared" si="122"/>
        <v>7748.722243529035</v>
      </c>
      <c r="H33" s="79">
        <f t="shared" si="122"/>
        <v>8271.7092753010766</v>
      </c>
      <c r="I33" s="79">
        <f t="shared" si="122"/>
        <v>9190.9212520388137</v>
      </c>
      <c r="J33" s="79">
        <f t="shared" si="122"/>
        <v>9674.621538390591</v>
      </c>
      <c r="K33" s="79">
        <f t="shared" ref="K33:L33" si="123">K31-K11</f>
        <v>10263.772703293391</v>
      </c>
      <c r="L33" s="79">
        <f t="shared" si="123"/>
        <v>6062.8634411462899</v>
      </c>
      <c r="M33" s="79">
        <f t="shared" si="122"/>
        <v>5350.3773294316943</v>
      </c>
    </row>
    <row r="34" spans="1:13" x14ac:dyDescent="0.3">
      <c r="A34" s="85" t="s">
        <v>0</v>
      </c>
      <c r="B34" s="61">
        <f t="shared" ref="B34" si="124">IFERROR((B33/A33)-1,0)</f>
        <v>0</v>
      </c>
      <c r="C34" s="61">
        <f t="shared" ref="C34" si="125">IFERROR((C33/B33)-1,0)</f>
        <v>8.0026200650459289E-2</v>
      </c>
      <c r="D34" s="61">
        <f t="shared" ref="D34" si="126">IFERROR((D33/C33)-1,0)</f>
        <v>-2.9573639808916363E-3</v>
      </c>
      <c r="E34" s="61">
        <f t="shared" ref="E34" si="127">IFERROR((E33/D33)-1,0)</f>
        <v>-1.6498978077042037E-2</v>
      </c>
      <c r="F34" s="61">
        <f t="shared" ref="F34" si="128">IFERROR((F33/E33)-1,0)</f>
        <v>4.7365889194461719E-2</v>
      </c>
      <c r="G34" s="61">
        <f t="shared" ref="G34" si="129">IFERROR((G33/F33)-1,0)</f>
        <v>-7.4156688996479314E-2</v>
      </c>
      <c r="H34" s="61">
        <f t="shared" ref="H34" si="130">IFERROR((H33/G33)-1,0)</f>
        <v>6.7493325394233583E-2</v>
      </c>
      <c r="I34" s="61">
        <f t="shared" ref="I34" si="131">IFERROR((I33/H33)-1,0)</f>
        <v>0.1111272103678087</v>
      </c>
      <c r="J34" s="61">
        <f t="shared" ref="J34:L34" si="132">IFERROR((J33/I33)-1,0)</f>
        <v>5.2628052519161583E-2</v>
      </c>
      <c r="K34" s="61">
        <f t="shared" si="132"/>
        <v>6.0896559370818171E-2</v>
      </c>
      <c r="L34" s="61">
        <f t="shared" si="132"/>
        <v>-0.4092948454323363</v>
      </c>
      <c r="M34" s="61">
        <f t="shared" ref="M34" si="133">IFERROR((M33/J33)-1,0)</f>
        <v>-0.44696779008869125</v>
      </c>
    </row>
    <row r="35" spans="1:13" x14ac:dyDescent="0.3">
      <c r="A35" s="8" t="s">
        <v>281</v>
      </c>
      <c r="B35" s="10"/>
      <c r="C35" s="10"/>
      <c r="D35" s="10"/>
      <c r="E35" s="10"/>
      <c r="F35" s="10"/>
      <c r="G35" s="10"/>
      <c r="H35" s="10"/>
      <c r="I35" s="10"/>
      <c r="J35" s="10"/>
      <c r="K35" s="10"/>
      <c r="L35" s="10"/>
      <c r="M35" s="10"/>
    </row>
    <row r="36" spans="1:13" x14ac:dyDescent="0.3">
      <c r="A36" s="85" t="s">
        <v>280</v>
      </c>
      <c r="B36" s="2">
        <f>IFERROR(B9/B31,"")</f>
        <v>0.18081534772182256</v>
      </c>
      <c r="C36" s="2">
        <f t="shared" ref="C36:M36" si="134">IFERROR(C9/C31,"")</f>
        <v>0.17414501880521296</v>
      </c>
      <c r="D36" s="2">
        <f t="shared" si="134"/>
        <v>0.16990499015663785</v>
      </c>
      <c r="E36" s="2">
        <f t="shared" si="134"/>
        <v>0.18405168749468673</v>
      </c>
      <c r="F36" s="2">
        <f t="shared" si="134"/>
        <v>0.18319017419924538</v>
      </c>
      <c r="G36" s="2">
        <f t="shared" si="134"/>
        <v>0.18796505985118081</v>
      </c>
      <c r="H36" s="2">
        <f t="shared" si="134"/>
        <v>0.18956272184880299</v>
      </c>
      <c r="I36" s="2">
        <f t="shared" si="134"/>
        <v>0.17976847489567907</v>
      </c>
      <c r="J36" s="2">
        <f t="shared" si="134"/>
        <v>0.17404737384140062</v>
      </c>
      <c r="K36" s="2">
        <f t="shared" ref="K36:L36" si="135">IFERROR(K9/K31,"")</f>
        <v>0.18214060980493108</v>
      </c>
      <c r="L36" s="2">
        <f t="shared" si="135"/>
        <v>0.19520326952032693</v>
      </c>
      <c r="M36" s="2">
        <f t="shared" si="134"/>
        <v>0.22259507829977632</v>
      </c>
    </row>
    <row r="37" spans="1:13" x14ac:dyDescent="0.3">
      <c r="A37" s="85" t="s">
        <v>279</v>
      </c>
      <c r="B37" s="2">
        <f>IFERROR(B11/B31,"")</f>
        <v>0.25438848920863316</v>
      </c>
      <c r="C37" s="2">
        <f t="shared" ref="C37:M37" si="136">IFERROR(C11/C31,"")</f>
        <v>0.29519811073209129</v>
      </c>
      <c r="D37" s="2">
        <f t="shared" si="136"/>
        <v>0.30480184884019512</v>
      </c>
      <c r="E37" s="2">
        <f t="shared" si="136"/>
        <v>0.30043356286661566</v>
      </c>
      <c r="F37" s="2">
        <f t="shared" si="136"/>
        <v>0.3007947338845629</v>
      </c>
      <c r="G37" s="2">
        <f t="shared" si="136"/>
        <v>0.199288256227758</v>
      </c>
      <c r="H37" s="2">
        <f t="shared" si="136"/>
        <v>0.17211690959897291</v>
      </c>
      <c r="I37" s="2">
        <f t="shared" si="136"/>
        <v>0.1969982501009557</v>
      </c>
      <c r="J37" s="2">
        <f t="shared" si="136"/>
        <v>0.24044344823408248</v>
      </c>
      <c r="K37" s="2">
        <f t="shared" ref="K37:L37" si="137">IFERROR(K11/K31,"")</f>
        <v>0.2209255763400263</v>
      </c>
      <c r="L37" s="2">
        <f t="shared" si="137"/>
        <v>0.14218111421811139</v>
      </c>
      <c r="M37" s="2">
        <f t="shared" si="136"/>
        <v>0.13646532438478751</v>
      </c>
    </row>
    <row r="38" spans="1:13" x14ac:dyDescent="0.3">
      <c r="A38" s="85" t="s">
        <v>278</v>
      </c>
      <c r="B38" s="2">
        <f>IFERROR(B13/B31,"")</f>
        <v>6.4940047961630706E-2</v>
      </c>
      <c r="C38" s="2">
        <f t="shared" ref="C38:M38" si="138">IFERROR(C13/C31,"")</f>
        <v>5.9564418787719758E-2</v>
      </c>
      <c r="D38" s="2">
        <f t="shared" si="138"/>
        <v>5.7519472738166565E-2</v>
      </c>
      <c r="E38" s="2">
        <f t="shared" si="138"/>
        <v>5.3727790529626791E-2</v>
      </c>
      <c r="F38" s="2">
        <f t="shared" si="138"/>
        <v>5.8441037167857431E-2</v>
      </c>
      <c r="G38" s="2">
        <f t="shared" si="138"/>
        <v>6.2520219993529594E-2</v>
      </c>
      <c r="H38" s="2">
        <f t="shared" si="138"/>
        <v>6.6460237142209805E-2</v>
      </c>
      <c r="I38" s="2">
        <f t="shared" si="138"/>
        <v>6.3130973213083863E-2</v>
      </c>
      <c r="J38" s="2">
        <f t="shared" si="138"/>
        <v>5.4704064942145754E-2</v>
      </c>
      <c r="K38" s="2">
        <f t="shared" ref="K38:L38" si="139">IFERROR(K13/K31,"")</f>
        <v>5.7433785252559919E-2</v>
      </c>
      <c r="L38" s="2">
        <f t="shared" si="139"/>
        <v>7.3241557324155729E-2</v>
      </c>
      <c r="M38" s="2">
        <f t="shared" si="138"/>
        <v>7.6435495898583158E-2</v>
      </c>
    </row>
    <row r="39" spans="1:13" x14ac:dyDescent="0.3">
      <c r="A39" s="85" t="s">
        <v>277</v>
      </c>
      <c r="B39" s="2">
        <f>IFERROR(B15/B31,"")</f>
        <v>0.14935251798561153</v>
      </c>
      <c r="C39" s="2">
        <f t="shared" ref="C39:M39" si="140">IFERROR(C15/C31,"")</f>
        <v>0.12927490597393509</v>
      </c>
      <c r="D39" s="2">
        <f t="shared" si="140"/>
        <v>0.12590944106821877</v>
      </c>
      <c r="E39" s="2">
        <f t="shared" si="140"/>
        <v>0.13593471053302728</v>
      </c>
      <c r="F39" s="2">
        <f t="shared" si="140"/>
        <v>0.13783414947419123</v>
      </c>
      <c r="G39" s="2">
        <f t="shared" si="140"/>
        <v>0.12382724037528306</v>
      </c>
      <c r="H39" s="2">
        <f t="shared" si="140"/>
        <v>0.12816252548901141</v>
      </c>
      <c r="I39" s="2">
        <f t="shared" si="140"/>
        <v>0.12289675595638712</v>
      </c>
      <c r="J39" s="2">
        <f t="shared" si="140"/>
        <v>0.12110013933482763</v>
      </c>
      <c r="K39" s="2">
        <f t="shared" ref="K39:L39" si="141">IFERROR(K15/K31,"")</f>
        <v>0.11795663863623362</v>
      </c>
      <c r="L39" s="2">
        <f t="shared" si="141"/>
        <v>0.10389331038933103</v>
      </c>
      <c r="M39" s="2">
        <f t="shared" si="140"/>
        <v>6.3136962465821539E-2</v>
      </c>
    </row>
    <row r="40" spans="1:13" x14ac:dyDescent="0.3">
      <c r="A40" s="85" t="s">
        <v>276</v>
      </c>
      <c r="B40" s="2">
        <f>IFERROR(B17/B31,"")</f>
        <v>2.4844124700239813E-2</v>
      </c>
      <c r="C40" s="2">
        <f t="shared" ref="C40:M40" si="142">IFERROR(C17/C31,"")</f>
        <v>5.3529257412752558E-2</v>
      </c>
      <c r="D40" s="2">
        <f t="shared" si="142"/>
        <v>5.1613455448086966E-2</v>
      </c>
      <c r="E40" s="2">
        <f t="shared" si="142"/>
        <v>5.2112556320666498E-2</v>
      </c>
      <c r="F40" s="2">
        <f t="shared" si="142"/>
        <v>5.3945572770329936E-2</v>
      </c>
      <c r="G40" s="2">
        <f t="shared" si="142"/>
        <v>4.9175024263992229E-2</v>
      </c>
      <c r="H40" s="2">
        <f t="shared" si="142"/>
        <v>5.309266671701534E-2</v>
      </c>
      <c r="I40" s="2">
        <f t="shared" si="142"/>
        <v>5.2295059900390364E-2</v>
      </c>
      <c r="J40" s="2">
        <f t="shared" si="142"/>
        <v>4.8888350396801353E-2</v>
      </c>
      <c r="K40" s="2">
        <f t="shared" ref="K40:L40" si="143">IFERROR(K17/K31,"")</f>
        <v>4.9997139751730445E-2</v>
      </c>
      <c r="L40" s="2">
        <f t="shared" si="143"/>
        <v>2.7102602710260267E-2</v>
      </c>
      <c r="M40" s="2">
        <f t="shared" si="142"/>
        <v>2.0879940343027596E-2</v>
      </c>
    </row>
    <row r="41" spans="1:13" x14ac:dyDescent="0.3">
      <c r="A41" s="85" t="s">
        <v>275</v>
      </c>
      <c r="B41" s="2">
        <f>IFERROR(B19/B31,"")</f>
        <v>0.22733812949640292</v>
      </c>
      <c r="C41" s="2">
        <f t="shared" ref="C41:M41" si="144">IFERROR(C19/C31,"")</f>
        <v>0.19531181667103997</v>
      </c>
      <c r="D41" s="2">
        <f t="shared" si="144"/>
        <v>0.20345801592056834</v>
      </c>
      <c r="E41" s="2">
        <f t="shared" si="144"/>
        <v>0.19756864745388081</v>
      </c>
      <c r="F41" s="2">
        <f t="shared" si="144"/>
        <v>0.19707794814160715</v>
      </c>
      <c r="G41" s="2">
        <f t="shared" si="144"/>
        <v>0.29569718537690065</v>
      </c>
      <c r="H41" s="2">
        <f t="shared" si="144"/>
        <v>0.29408654935427836</v>
      </c>
      <c r="I41" s="2">
        <f t="shared" si="144"/>
        <v>0.28671422802530622</v>
      </c>
      <c r="J41" s="2">
        <f t="shared" si="144"/>
        <v>0.25680014539286361</v>
      </c>
      <c r="K41" s="2">
        <f t="shared" ref="K41:L41" si="145">IFERROR(K19/K31,"")</f>
        <v>0.25793718894800066</v>
      </c>
      <c r="L41" s="2">
        <f t="shared" si="145"/>
        <v>0.25951817595181759</v>
      </c>
      <c r="M41" s="2">
        <f t="shared" si="144"/>
        <v>0.27479492915734527</v>
      </c>
    </row>
    <row r="42" spans="1:13" x14ac:dyDescent="0.3">
      <c r="A42" s="85" t="s">
        <v>274</v>
      </c>
      <c r="B42" s="2">
        <f>IFERROR(B21/B31,"")</f>
        <v>0</v>
      </c>
      <c r="C42" s="2">
        <f t="shared" ref="C42:M42" si="146">IFERROR(C21/C31,"")</f>
        <v>0</v>
      </c>
      <c r="D42" s="2">
        <f t="shared" si="146"/>
        <v>0</v>
      </c>
      <c r="E42" s="2">
        <f t="shared" si="146"/>
        <v>0</v>
      </c>
      <c r="F42" s="2">
        <f t="shared" si="146"/>
        <v>0</v>
      </c>
      <c r="G42" s="2">
        <f t="shared" si="146"/>
        <v>0</v>
      </c>
      <c r="H42" s="2">
        <f t="shared" si="146"/>
        <v>0</v>
      </c>
      <c r="I42" s="2">
        <f t="shared" si="146"/>
        <v>0</v>
      </c>
      <c r="J42" s="2">
        <f t="shared" si="146"/>
        <v>0</v>
      </c>
      <c r="K42" s="2">
        <f t="shared" ref="K42:L42" si="147">IFERROR(K21/K31,"")</f>
        <v>0</v>
      </c>
      <c r="L42" s="2">
        <f t="shared" si="147"/>
        <v>0</v>
      </c>
      <c r="M42" s="2">
        <f t="shared" si="146"/>
        <v>0</v>
      </c>
    </row>
    <row r="43" spans="1:13" x14ac:dyDescent="0.3">
      <c r="A43" s="85" t="s">
        <v>273</v>
      </c>
      <c r="B43" s="61">
        <f>IFERROR(B23/B31,"")</f>
        <v>8.959232613908874E-2</v>
      </c>
      <c r="C43" s="61">
        <f t="shared" ref="C43:M43" si="148">IFERROR(C23/C31,"")</f>
        <v>8.7728505204233351E-2</v>
      </c>
      <c r="D43" s="61">
        <f t="shared" si="148"/>
        <v>9.1757254129932381E-2</v>
      </c>
      <c r="E43" s="61">
        <f t="shared" si="148"/>
        <v>9.5468842982232419E-2</v>
      </c>
      <c r="F43" s="61">
        <f t="shared" si="148"/>
        <v>9.488640924781247E-2</v>
      </c>
      <c r="G43" s="61">
        <f t="shared" si="148"/>
        <v>0.18432546101585245</v>
      </c>
      <c r="H43" s="61">
        <f t="shared" si="148"/>
        <v>0.18185937618004683</v>
      </c>
      <c r="I43" s="61">
        <f t="shared" si="148"/>
        <v>0.17613406918831606</v>
      </c>
      <c r="J43" s="61">
        <f t="shared" si="148"/>
        <v>0.15193554249712241</v>
      </c>
      <c r="K43" s="61">
        <f t="shared" ref="K43:L43" si="149">IFERROR(K23/K31,"")</f>
        <v>0.13963732051942107</v>
      </c>
      <c r="L43" s="61">
        <f t="shared" si="149"/>
        <v>0.11679931167993114</v>
      </c>
      <c r="M43" s="61">
        <f t="shared" si="148"/>
        <v>0.11744966442953023</v>
      </c>
    </row>
    <row r="44" spans="1:13" x14ac:dyDescent="0.3">
      <c r="A44" s="85" t="s">
        <v>272</v>
      </c>
      <c r="B44" s="2">
        <f>IFERROR(B25/B31,"")</f>
        <v>0.13774580335731418</v>
      </c>
      <c r="C44" s="2">
        <f t="shared" ref="C44:M44" si="150">IFERROR(C25/C31,"")</f>
        <v>0.10758331146680662</v>
      </c>
      <c r="D44" s="2">
        <f t="shared" si="150"/>
        <v>0.11170076179063596</v>
      </c>
      <c r="E44" s="2">
        <f t="shared" si="150"/>
        <v>0.10209980447164838</v>
      </c>
      <c r="F44" s="2">
        <f t="shared" si="150"/>
        <v>0.10219153889379466</v>
      </c>
      <c r="G44" s="2">
        <f t="shared" si="150"/>
        <v>0.1113717243610482</v>
      </c>
      <c r="H44" s="2">
        <f t="shared" si="150"/>
        <v>0.11222717317423156</v>
      </c>
      <c r="I44" s="2">
        <f t="shared" si="150"/>
        <v>0.11058015883699017</v>
      </c>
      <c r="J44" s="2">
        <f t="shared" si="150"/>
        <v>0.10486460289574119</v>
      </c>
      <c r="K44" s="2">
        <f t="shared" ref="K44:L44" si="151">IFERROR(K25/K31,"")</f>
        <v>0.11829986842857959</v>
      </c>
      <c r="L44" s="2">
        <f t="shared" si="151"/>
        <v>0.1427188642718864</v>
      </c>
      <c r="M44" s="2">
        <f t="shared" si="150"/>
        <v>0.15734526472781507</v>
      </c>
    </row>
    <row r="45" spans="1:13" x14ac:dyDescent="0.3">
      <c r="A45" s="85" t="s">
        <v>271</v>
      </c>
      <c r="B45" s="2">
        <f>IFERROR(B27/B31,"")</f>
        <v>3.3189448441247008E-2</v>
      </c>
      <c r="C45" s="2">
        <f t="shared" ref="C45:M45" si="152">IFERROR(C27/C31,"")</f>
        <v>2.9301145806000174E-2</v>
      </c>
      <c r="D45" s="2">
        <f t="shared" si="152"/>
        <v>2.8759736369083282E-2</v>
      </c>
      <c r="E45" s="2">
        <f t="shared" si="152"/>
        <v>2.7033919918388168E-2</v>
      </c>
      <c r="F45" s="2">
        <f t="shared" si="152"/>
        <v>2.5126434936180459E-2</v>
      </c>
      <c r="G45" s="2">
        <f t="shared" si="152"/>
        <v>2.855063086379812E-2</v>
      </c>
      <c r="H45" s="2">
        <f t="shared" si="152"/>
        <v>3.489162449966015E-2</v>
      </c>
      <c r="I45" s="2">
        <f t="shared" si="152"/>
        <v>3.3853816125992725E-2</v>
      </c>
      <c r="J45" s="2">
        <f t="shared" si="152"/>
        <v>0</v>
      </c>
      <c r="K45" s="2">
        <f t="shared" ref="K45:L45" si="153">IFERROR(K27/K31,"")</f>
        <v>0</v>
      </c>
      <c r="L45" s="2">
        <f t="shared" si="153"/>
        <v>0</v>
      </c>
      <c r="M45" s="2">
        <f t="shared" si="152"/>
        <v>0</v>
      </c>
    </row>
    <row r="46" spans="1:13" x14ac:dyDescent="0.3">
      <c r="A46" s="85" t="s">
        <v>270</v>
      </c>
      <c r="B46" s="2">
        <f>IFERROR(B29/B31,"")</f>
        <v>6.5131894484412478E-2</v>
      </c>
      <c r="C46" s="2">
        <f t="shared" ref="C46:M46" si="154">IFERROR(C29/C31,"")</f>
        <v>6.3675325811248143E-2</v>
      </c>
      <c r="D46" s="2">
        <f t="shared" si="154"/>
        <v>5.8033039459043055E-2</v>
      </c>
      <c r="E46" s="2">
        <f t="shared" si="154"/>
        <v>4.9137124883108049E-2</v>
      </c>
      <c r="F46" s="2">
        <f t="shared" si="154"/>
        <v>4.358994942602553E-2</v>
      </c>
      <c r="G46" s="2">
        <f t="shared" si="154"/>
        <v>5.2976383047557418E-2</v>
      </c>
      <c r="H46" s="2">
        <f t="shared" si="154"/>
        <v>6.1626765350049094E-2</v>
      </c>
      <c r="I46" s="2">
        <f t="shared" si="154"/>
        <v>6.4342441782204871E-2</v>
      </c>
      <c r="J46" s="2">
        <f t="shared" si="154"/>
        <v>0.10401647785787846</v>
      </c>
      <c r="K46" s="2">
        <f t="shared" ref="K46:L46" si="155">IFERROR(K29/K31,"")</f>
        <v>0.11360906126651793</v>
      </c>
      <c r="L46" s="2">
        <f t="shared" si="155"/>
        <v>0.19885996988599697</v>
      </c>
      <c r="M46" s="2">
        <f t="shared" si="154"/>
        <v>0.20569226945065877</v>
      </c>
    </row>
    <row r="47" spans="1:13" x14ac:dyDescent="0.3">
      <c r="A47" s="14" t="s">
        <v>269</v>
      </c>
      <c r="B47" s="78">
        <f>IFERROR(SUM(B36:B46)-B41,"")</f>
        <v>1</v>
      </c>
      <c r="C47" s="78">
        <f t="shared" ref="C47:M47" si="156">IFERROR(SUM(C36:C46)-C41,"")</f>
        <v>1</v>
      </c>
      <c r="D47" s="78">
        <f t="shared" si="156"/>
        <v>1</v>
      </c>
      <c r="E47" s="78">
        <f t="shared" si="156"/>
        <v>1</v>
      </c>
      <c r="F47" s="78">
        <f t="shared" si="156"/>
        <v>1</v>
      </c>
      <c r="G47" s="78">
        <f t="shared" si="156"/>
        <v>0.99999999999999978</v>
      </c>
      <c r="H47" s="78">
        <f t="shared" si="156"/>
        <v>1</v>
      </c>
      <c r="I47" s="78">
        <f t="shared" si="156"/>
        <v>0.99999999999999989</v>
      </c>
      <c r="J47" s="78">
        <f t="shared" si="156"/>
        <v>1</v>
      </c>
      <c r="K47" s="78">
        <f t="shared" ref="K47:L47" si="157">IFERROR(SUM(K36:K46)-K41,"")</f>
        <v>1</v>
      </c>
      <c r="L47" s="78">
        <f t="shared" si="157"/>
        <v>0.99999999999999989</v>
      </c>
      <c r="M47" s="78">
        <f t="shared" si="156"/>
        <v>1</v>
      </c>
    </row>
    <row r="48" spans="1:13" x14ac:dyDescent="0.3">
      <c r="A48" s="8" t="str">
        <f>("Total Operating Costs " &amp; 'Revenue Analysis Reported'!$A$41)</f>
        <v>Total Operating Costs Per ASM:</v>
      </c>
      <c r="B48" s="10"/>
      <c r="C48" s="10"/>
      <c r="D48" s="10"/>
      <c r="E48" s="10"/>
      <c r="F48" s="10"/>
      <c r="G48" s="10"/>
      <c r="H48" s="10"/>
      <c r="I48" s="10"/>
      <c r="J48" s="10"/>
      <c r="K48" s="10"/>
      <c r="L48" s="10"/>
      <c r="M48" s="10"/>
    </row>
    <row r="49" spans="1:13" x14ac:dyDescent="0.3">
      <c r="A49" s="85" t="str">
        <f>("Employee Costs per " &amp; 'Annual Operational Data'!$A$33  &amp; " [cents]")</f>
        <v>Employee Costs per ASMs [cents]</v>
      </c>
      <c r="B49" s="4">
        <f>IFERROR(B9*100/'Annual Operational Data'!B33,"")</f>
        <v>2.8816926403494971</v>
      </c>
      <c r="C49" s="4">
        <f>IFERROR(C9*100/'Annual Operational Data'!C33,"")</f>
        <v>3.0296278829652104</v>
      </c>
      <c r="D49" s="4">
        <f>IFERROR(D9*100/'Annual Operational Data'!D33,"")</f>
        <v>2.9519018527830734</v>
      </c>
      <c r="E49" s="4">
        <f>IFERROR(E9*100/'Annual Operational Data'!E33,"")</f>
        <v>3.0658567816314437</v>
      </c>
      <c r="F49" s="4">
        <f>IFERROR(F9*100/'Annual Operational Data'!F33,"")</f>
        <v>2.9676337161491095</v>
      </c>
      <c r="G49" s="4">
        <f>IFERROR(G9*100/'Annual Operational Data'!G33,"")</f>
        <v>2.2492524875270834</v>
      </c>
      <c r="H49" s="4">
        <f>IFERROR(H9*100/'Annual Operational Data'!H33,"")</f>
        <v>2.0425733441686482</v>
      </c>
      <c r="I49" s="4">
        <f>IFERROR(I9*100/'Annual Operational Data'!I33,"")</f>
        <v>1.9881507325986678</v>
      </c>
      <c r="J49" s="4">
        <f>IFERROR(J9*100/'Annual Operational Data'!J33,"")</f>
        <v>1.9995992569575423</v>
      </c>
      <c r="K49" s="4">
        <f>IFERROR(K9*100/'Annual Operational Data'!K33,"")</f>
        <v>2.127021436767361</v>
      </c>
      <c r="L49" s="4">
        <f>IFERROR(L9*100/'Annual Operational Data'!L33,"")</f>
        <v>3.6592607922434897</v>
      </c>
      <c r="M49" s="4">
        <f>IFERROR(M9*100/'Annual Operational Data'!M33,"")</f>
        <v>5.4454833807830232</v>
      </c>
    </row>
    <row r="50" spans="1:13" x14ac:dyDescent="0.3">
      <c r="A50" s="85" t="s">
        <v>0</v>
      </c>
      <c r="B50" s="61">
        <f>IFERROR((B49/A49)-1,0)</f>
        <v>0</v>
      </c>
      <c r="C50" s="61">
        <f t="shared" ref="C50:L50" si="158">IFERROR((C49/B49)-1,0)</f>
        <v>5.1336232235291934E-2</v>
      </c>
      <c r="D50" s="61">
        <f t="shared" si="158"/>
        <v>-2.5655305926899352E-2</v>
      </c>
      <c r="E50" s="61">
        <f t="shared" si="158"/>
        <v>3.860390166459382E-2</v>
      </c>
      <c r="F50" s="61">
        <f t="shared" si="158"/>
        <v>-3.2037721419611254E-2</v>
      </c>
      <c r="G50" s="61">
        <f t="shared" si="158"/>
        <v>-0.24207206728808139</v>
      </c>
      <c r="H50" s="61">
        <f t="shared" si="158"/>
        <v>-9.1887924768137674E-2</v>
      </c>
      <c r="I50" s="61">
        <f t="shared" si="158"/>
        <v>-2.6644140698962815E-2</v>
      </c>
      <c r="J50" s="61">
        <f t="shared" si="158"/>
        <v>5.7583784625374612E-3</v>
      </c>
      <c r="K50" s="61">
        <f t="shared" si="158"/>
        <v>6.3723858351345752E-2</v>
      </c>
      <c r="L50" s="61">
        <f t="shared" si="158"/>
        <v>0.72036855340998351</v>
      </c>
      <c r="M50" s="61">
        <f>IFERROR((M49/J49)-1,0)</f>
        <v>1.7232873596225025</v>
      </c>
    </row>
    <row r="51" spans="1:13" x14ac:dyDescent="0.3">
      <c r="A51" s="85" t="str">
        <f>("Fuel and oil per " &amp; 'Annual Operational Data'!$A$33 &amp; " [cents]")</f>
        <v>Fuel and oil per ASMs [cents]</v>
      </c>
      <c r="B51" s="4">
        <f>IFERROR(B11*100/'Annual Operational Data'!B33,"")</f>
        <v>4.0542434388365338</v>
      </c>
      <c r="C51" s="4">
        <f>IFERROR(C11*100/'Annual Operational Data'!C33,"")</f>
        <v>5.1356072852875858</v>
      </c>
      <c r="D51" s="4">
        <f>IFERROR(D11*100/'Annual Operational Data'!D33,"")</f>
        <v>5.2955780845141174</v>
      </c>
      <c r="E51" s="4">
        <f>IFERROR(E11*100/'Annual Operational Data'!E33,"")</f>
        <v>5.0044978597161762</v>
      </c>
      <c r="F51" s="4">
        <f>IFERROR(F11*100/'Annual Operational Data'!F33,"")</f>
        <v>4.8727973419854145</v>
      </c>
      <c r="G51" s="4">
        <f>IFERROR(G11*100/'Annual Operational Data'!G33,"")</f>
        <v>2.3847496253299201</v>
      </c>
      <c r="H51" s="4">
        <f>IFERROR(H11*100/'Annual Operational Data'!H33,"")</f>
        <v>1.8545914945658766</v>
      </c>
      <c r="I51" s="4">
        <f>IFERROR(I11*100/'Annual Operational Data'!I33,"")</f>
        <v>2.1787035545924005</v>
      </c>
      <c r="J51" s="4">
        <f>IFERROR(J11*100/'Annual Operational Data'!J33,"")</f>
        <v>2.7624119216374816</v>
      </c>
      <c r="K51" s="4">
        <f>IFERROR(K11*100/'Annual Operational Data'!K33,"")</f>
        <v>2.5799487401996064</v>
      </c>
      <c r="L51" s="4">
        <f>IFERROR(L11*100/'Annual Operational Data'!L33,"")</f>
        <v>2.6653128194743214</v>
      </c>
      <c r="M51" s="4">
        <f>IFERROR(M11*100/'Annual Operational Data'!M33,"")</f>
        <v>3.3384370475152205</v>
      </c>
    </row>
    <row r="52" spans="1:13" x14ac:dyDescent="0.3">
      <c r="A52" s="85" t="s">
        <v>0</v>
      </c>
      <c r="B52" s="61">
        <f>IFERROR((B51/A51)-1,0)</f>
        <v>0</v>
      </c>
      <c r="C52" s="61">
        <f t="shared" ref="C52:L52" si="159">IFERROR((C51/B51)-1,0)</f>
        <v>0.26672395547154815</v>
      </c>
      <c r="D52" s="61">
        <f t="shared" si="159"/>
        <v>3.1149344243048604E-2</v>
      </c>
      <c r="E52" s="61">
        <f t="shared" si="159"/>
        <v>-5.4966657115140705E-2</v>
      </c>
      <c r="F52" s="61">
        <f t="shared" si="159"/>
        <v>-2.6316430024056592E-2</v>
      </c>
      <c r="G52" s="61">
        <f t="shared" si="159"/>
        <v>-0.51059946516095889</v>
      </c>
      <c r="H52" s="61">
        <f t="shared" si="159"/>
        <v>-0.22231186248355039</v>
      </c>
      <c r="I52" s="61">
        <f t="shared" si="159"/>
        <v>0.17476196832359148</v>
      </c>
      <c r="J52" s="61">
        <f t="shared" si="159"/>
        <v>0.26791546092386276</v>
      </c>
      <c r="K52" s="61">
        <f t="shared" si="159"/>
        <v>-6.6052126407605494E-2</v>
      </c>
      <c r="L52" s="61">
        <f t="shared" si="159"/>
        <v>3.3087509819327066E-2</v>
      </c>
      <c r="M52" s="61">
        <f>IFERROR((M51/J51)-1,0)</f>
        <v>0.20852253111342178</v>
      </c>
    </row>
    <row r="53" spans="1:13" x14ac:dyDescent="0.3">
      <c r="A53" s="85" t="str">
        <f>("Maintenance, materials &amp; engineering per " &amp; 'Annual Operational Data'!$A$33 &amp;" [cents]")</f>
        <v>Maintenance, materials &amp; engineering per ASMs [cents]</v>
      </c>
      <c r="B53" s="4">
        <f>IFERROR(B13*100/'Annual Operational Data'!B33,"")</f>
        <v>1.0349633514676972</v>
      </c>
      <c r="C53" s="4">
        <f>IFERROR(C13*100/'Annual Operational Data'!C33,"")</f>
        <v>1.0362514255646951</v>
      </c>
      <c r="D53" s="4">
        <f>IFERROR(D13*100/'Annual Operational Data'!D33,"")</f>
        <v>0.99933402774318647</v>
      </c>
      <c r="E53" s="4">
        <f>IFERROR(E13*100/'Annual Operational Data'!E33,"")</f>
        <v>0.89497528221296641</v>
      </c>
      <c r="F53" s="4">
        <f>IFERROR(F13*100/'Annual Operational Data'!F33,"")</f>
        <v>0.94672977447701656</v>
      </c>
      <c r="G53" s="4">
        <f>IFERROR(G13*100/'Annual Operational Data'!G33,"")</f>
        <v>0.74813776801137499</v>
      </c>
      <c r="H53" s="4">
        <f>IFERROR(H13*100/'Annual Operational Data'!H33,"")</f>
        <v>0.71612133182008386</v>
      </c>
      <c r="I53" s="4">
        <f>IFERROR(I13*100/'Annual Operational Data'!I33,"")</f>
        <v>0.69819744933640981</v>
      </c>
      <c r="J53" s="4">
        <f>IFERROR(J13*100/'Annual Operational Data'!J33,"")</f>
        <v>0.6284852520127604</v>
      </c>
      <c r="K53" s="4">
        <f>IFERROR(K13*100/'Annual Operational Data'!K33,"")</f>
        <v>0.67070650832739642</v>
      </c>
      <c r="L53" s="4">
        <f>IFERROR(L13*100/'Annual Operational Data'!L33,"")</f>
        <v>1.3729788427095408</v>
      </c>
      <c r="M53" s="4">
        <f>IFERROR(M13*100/'Annual Operational Data'!M33,"")</f>
        <v>1.8698896031164487</v>
      </c>
    </row>
    <row r="54" spans="1:13" x14ac:dyDescent="0.3">
      <c r="A54" s="85" t="s">
        <v>0</v>
      </c>
      <c r="B54" s="61">
        <f>IFERROR((B53/A53)-1,0)</f>
        <v>0</v>
      </c>
      <c r="C54" s="61">
        <f t="shared" ref="C54:L54" si="160">IFERROR((C53/B53)-1,0)</f>
        <v>1.2445601046366939E-3</v>
      </c>
      <c r="D54" s="61">
        <f t="shared" si="160"/>
        <v>-3.5625907874038187E-2</v>
      </c>
      <c r="E54" s="61">
        <f t="shared" si="160"/>
        <v>-0.10442829187543556</v>
      </c>
      <c r="F54" s="61">
        <f t="shared" si="160"/>
        <v>5.7827845408287892E-2</v>
      </c>
      <c r="G54" s="61">
        <f t="shared" si="160"/>
        <v>-0.20976630483111813</v>
      </c>
      <c r="H54" s="61">
        <f t="shared" si="160"/>
        <v>-4.2794840148752344E-2</v>
      </c>
      <c r="I54" s="61">
        <f t="shared" si="160"/>
        <v>-2.5029114044290424E-2</v>
      </c>
      <c r="J54" s="61">
        <f t="shared" si="160"/>
        <v>-9.9845963903056667E-2</v>
      </c>
      <c r="K54" s="61">
        <f t="shared" si="160"/>
        <v>6.7179390732590827E-2</v>
      </c>
      <c r="L54" s="61">
        <f t="shared" si="160"/>
        <v>1.0470635451763641</v>
      </c>
      <c r="M54" s="61">
        <f>IFERROR((M53/J53)-1,0)</f>
        <v>1.9752322701734353</v>
      </c>
    </row>
    <row r="55" spans="1:13" x14ac:dyDescent="0.3">
      <c r="A55" s="85" t="str">
        <f>("Landing fees, en route &amp; other variable charges per " &amp; 'Annual Operational Data'!$A$33 &amp;" [cents]")</f>
        <v>Landing fees, en route &amp; other variable charges per ASMs [cents]</v>
      </c>
      <c r="B55" s="4">
        <f>IFERROR(B15*100/'Annual Operational Data'!B33,"")</f>
        <v>2.3802628334345712</v>
      </c>
      <c r="C55" s="4">
        <f>IFERROR(C15*100/'Annual Operational Data'!C33,"")</f>
        <v>2.2490155756014971</v>
      </c>
      <c r="D55" s="4">
        <f>IFERROR(D15*100/'Annual Operational Data'!D33,"")</f>
        <v>2.1875302898961717</v>
      </c>
      <c r="E55" s="4">
        <f>IFERROR(E15*100/'Annual Operational Data'!E33,"")</f>
        <v>2.2643441080040083</v>
      </c>
      <c r="F55" s="4">
        <f>IFERROR(F15*100/'Annual Operational Data'!F33,"")</f>
        <v>2.2328777785398866</v>
      </c>
      <c r="G55" s="4">
        <f>IFERROR(G15*100/'Annual Operational Data'!G33,"")</f>
        <v>1.4817579855438747</v>
      </c>
      <c r="H55" s="4">
        <f>IFERROR(H15*100/'Annual Operational Data'!H33,"")</f>
        <v>1.3809748864757754</v>
      </c>
      <c r="I55" s="4">
        <f>IFERROR(I15*100/'Annual Operational Data'!I33,"")</f>
        <v>1.3591775506271688</v>
      </c>
      <c r="J55" s="4">
        <f>IFERROR(J15*100/'Annual Operational Data'!J33,"")</f>
        <v>1.3912979166926998</v>
      </c>
      <c r="K55" s="4">
        <f>IFERROR(K15*100/'Annual Operational Data'!K33,"")</f>
        <v>1.37748687268037</v>
      </c>
      <c r="L55" s="4">
        <f>IFERROR(L15*100/'Annual Operational Data'!L33,"")</f>
        <v>1.9475735125659563</v>
      </c>
      <c r="M55" s="4">
        <f>IFERROR(M15*100/'Annual Operational Data'!M33,"")</f>
        <v>1.5445592168831803</v>
      </c>
    </row>
    <row r="56" spans="1:13" x14ac:dyDescent="0.3">
      <c r="A56" s="85" t="s">
        <v>0</v>
      </c>
      <c r="B56" s="61">
        <f>IFERROR((B55/A55)-1,0)</f>
        <v>0</v>
      </c>
      <c r="C56" s="61">
        <f t="shared" ref="C56:L56" si="161">IFERROR((C55/B55)-1,0)</f>
        <v>-5.5139817330043583E-2</v>
      </c>
      <c r="D56" s="61">
        <f t="shared" si="161"/>
        <v>-2.7338754952322297E-2</v>
      </c>
      <c r="E56" s="61">
        <f t="shared" si="161"/>
        <v>3.5114402055425931E-2</v>
      </c>
      <c r="F56" s="61">
        <f t="shared" si="161"/>
        <v>-1.3896443280371762E-2</v>
      </c>
      <c r="G56" s="61">
        <f t="shared" si="161"/>
        <v>-0.33639091230832197</v>
      </c>
      <c r="H56" s="61">
        <f t="shared" si="161"/>
        <v>-6.8015897367414757E-2</v>
      </c>
      <c r="I56" s="61">
        <f t="shared" si="161"/>
        <v>-1.5784020449664315E-2</v>
      </c>
      <c r="J56" s="61">
        <f t="shared" si="161"/>
        <v>2.3632207617547474E-2</v>
      </c>
      <c r="K56" s="61">
        <f t="shared" si="161"/>
        <v>-9.9267337689691315E-3</v>
      </c>
      <c r="L56" s="61">
        <f t="shared" si="161"/>
        <v>0.41385994392548264</v>
      </c>
      <c r="M56" s="61">
        <f>IFERROR((M55/J55)-1,0)</f>
        <v>0.11015706869942199</v>
      </c>
    </row>
    <row r="57" spans="1:13" x14ac:dyDescent="0.3">
      <c r="A57" s="85" t="str">
        <f>("Selling &amp; distribution charges per " &amp; 'Annual Operational Data'!$A$33 &amp;" [cents]")</f>
        <v>Selling &amp; distribution charges per ASMs [cents]</v>
      </c>
      <c r="B57" s="4">
        <f>IFERROR(B17*100/'Annual Operational Data'!B33,"")</f>
        <v>0.39594609753343224</v>
      </c>
      <c r="C57" s="4">
        <f>IFERROR(C17*100/'Annual Operational Data'!C33,"")</f>
        <v>0.93125678773214904</v>
      </c>
      <c r="D57" s="4">
        <f>IFERROR(D17*100/'Annual Operational Data'!D33,"")</f>
        <v>0.89672383739455575</v>
      </c>
      <c r="E57" s="4">
        <f>IFERROR(E17*100/'Annual Operational Data'!E33,"")</f>
        <v>0.8680693797413741</v>
      </c>
      <c r="F57" s="4">
        <f>IFERROR(F17*100/'Annual Operational Data'!F33,"")</f>
        <v>0.87390440720955376</v>
      </c>
      <c r="G57" s="4">
        <f>IFERROR(G17*100/'Annual Operational Data'!G33,"")</f>
        <v>0.58844471274374655</v>
      </c>
      <c r="H57" s="4">
        <f>IFERROR(H17*100/'Annual Operational Data'!H33,"")</f>
        <v>0.5720832912153625</v>
      </c>
      <c r="I57" s="4">
        <f>IFERROR(I17*100/'Annual Operational Data'!I33,"")</f>
        <v>0.57835758862941411</v>
      </c>
      <c r="J57" s="4">
        <f>IFERROR(J17*100/'Annual Operational Data'!J33,"")</f>
        <v>0.56166954415758319</v>
      </c>
      <c r="K57" s="4">
        <f>IFERROR(K17*100/'Annual Operational Data'!K33,"")</f>
        <v>0.58386204011767384</v>
      </c>
      <c r="L57" s="4">
        <f>IFERROR(L17*100/'Annual Operational Data'!L33,"")</f>
        <v>0.5080626554519887</v>
      </c>
      <c r="M57" s="4">
        <f>IFERROR(M17*100/'Annual Operational Data'!M33,"")</f>
        <v>0.51079911109522502</v>
      </c>
    </row>
    <row r="58" spans="1:13" x14ac:dyDescent="0.3">
      <c r="A58" s="85" t="s">
        <v>0</v>
      </c>
      <c r="B58" s="61">
        <f>IFERROR((B57/A57)-1,0)</f>
        <v>0</v>
      </c>
      <c r="C58" s="61">
        <f t="shared" ref="C58:L58" si="162">IFERROR((C57/B57)-1,0)</f>
        <v>1.3519786999631109</v>
      </c>
      <c r="D58" s="61">
        <f t="shared" si="162"/>
        <v>-3.7082092493188612E-2</v>
      </c>
      <c r="E58" s="61">
        <f t="shared" si="162"/>
        <v>-3.1954606823475951E-2</v>
      </c>
      <c r="F58" s="61">
        <f t="shared" si="162"/>
        <v>6.7218445948618033E-3</v>
      </c>
      <c r="G58" s="61">
        <f t="shared" si="162"/>
        <v>-0.32664864956717943</v>
      </c>
      <c r="H58" s="61">
        <f t="shared" si="162"/>
        <v>-2.7804517865570588E-2</v>
      </c>
      <c r="I58" s="61">
        <f t="shared" si="162"/>
        <v>1.0967454408119748E-2</v>
      </c>
      <c r="J58" s="61">
        <f t="shared" si="162"/>
        <v>-2.8854198163765887E-2</v>
      </c>
      <c r="K58" s="61">
        <f t="shared" si="162"/>
        <v>3.9511659820145484E-2</v>
      </c>
      <c r="L58" s="61">
        <f t="shared" si="162"/>
        <v>-0.12982413559615602</v>
      </c>
      <c r="M58" s="61">
        <f>IFERROR((M57/J57)-1,0)</f>
        <v>-9.0570039966571203E-2</v>
      </c>
    </row>
    <row r="59" spans="1:13" x14ac:dyDescent="0.3">
      <c r="A59" s="85" t="str">
        <f>("Other EBITDAR expenses [sub-total] per " &amp; 'Annual Operational Data'!$A$33 &amp;" [cents]")</f>
        <v>Other EBITDAR expenses [sub-total] per ASMs [cents]</v>
      </c>
      <c r="B59" s="4">
        <f>IFERROR(B19*100/'Annual Operational Data'!B33,"")</f>
        <v>3.6231361048426041</v>
      </c>
      <c r="C59" s="4">
        <f>IFERROR(C19*100/'Annual Operational Data'!C33,"")</f>
        <v>3.3978699460880537</v>
      </c>
      <c r="D59" s="4">
        <f>IFERROR(D19*100/'Annual Operational Data'!D33,"")</f>
        <v>3.5348467022999319</v>
      </c>
      <c r="E59" s="4">
        <f>IFERROR(E19*100/'Annual Operational Data'!E33,"")</f>
        <v>3.2910167023147689</v>
      </c>
      <c r="F59" s="4">
        <f>IFERROR(F19*100/'Annual Operational Data'!F33,"")</f>
        <v>3.1926120828860931</v>
      </c>
      <c r="G59" s="4">
        <f>IFERROR(G19*100/'Annual Operational Data'!G33,"")</f>
        <v>3.5384109700512121</v>
      </c>
      <c r="H59" s="4">
        <f>IFERROR(H19*100/'Annual Operational Data'!H33,"")</f>
        <v>3.1688368933038711</v>
      </c>
      <c r="I59" s="4">
        <f>IFERROR(I19*100/'Annual Operational Data'!I33,"")</f>
        <v>3.1709180534894519</v>
      </c>
      <c r="J59" s="4">
        <f>IFERROR(J19*100/'Annual Operational Data'!J33,"")</f>
        <v>2.9503310999801675</v>
      </c>
      <c r="K59" s="4">
        <f>IFERROR(K19*100/'Annual Operational Data'!K33,"")</f>
        <v>3.0121669781356881</v>
      </c>
      <c r="L59" s="4">
        <f>IFERROR(L19*100/'Annual Operational Data'!L33,"")</f>
        <v>4.8649015381176532</v>
      </c>
      <c r="M59" s="4">
        <f>IFERROR(M19*100/'Annual Operational Data'!M33,"")</f>
        <v>6.7224811585210853</v>
      </c>
    </row>
    <row r="60" spans="1:13" x14ac:dyDescent="0.3">
      <c r="A60" s="85" t="s">
        <v>0</v>
      </c>
      <c r="B60" s="61">
        <f>IFERROR((B59/A59)-1,0)</f>
        <v>0</v>
      </c>
      <c r="C60" s="61">
        <f t="shared" ref="C60:L60" si="163">IFERROR((C59/B59)-1,0)</f>
        <v>-6.2174357307048012E-2</v>
      </c>
      <c r="D60" s="61">
        <f t="shared" si="163"/>
        <v>4.0312536496453832E-2</v>
      </c>
      <c r="E60" s="61">
        <f t="shared" si="163"/>
        <v>-6.8978946053450119E-2</v>
      </c>
      <c r="F60" s="61">
        <f t="shared" si="163"/>
        <v>-2.9900978429997616E-2</v>
      </c>
      <c r="G60" s="61">
        <f t="shared" si="163"/>
        <v>0.10831221526058998</v>
      </c>
      <c r="H60" s="61">
        <f t="shared" si="163"/>
        <v>-0.10444634042664414</v>
      </c>
      <c r="I60" s="61">
        <f t="shared" si="163"/>
        <v>6.5675838033141254E-4</v>
      </c>
      <c r="J60" s="61">
        <f t="shared" si="163"/>
        <v>-6.9565643068744243E-2</v>
      </c>
      <c r="K60" s="61">
        <f t="shared" si="163"/>
        <v>2.0958962252045632E-2</v>
      </c>
      <c r="L60" s="61">
        <f t="shared" si="163"/>
        <v>0.61508361702068481</v>
      </c>
      <c r="M60" s="61">
        <f>IFERROR((M59/J59)-1,0)</f>
        <v>1.278551433961522</v>
      </c>
    </row>
    <row r="61" spans="1:13" x14ac:dyDescent="0.3">
      <c r="A61" s="85" t="str">
        <f>("Non-aircraft rental [IS] per " &amp; 'Annual Operational Data'!$A$33 &amp; " [cents]")</f>
        <v>Non-aircraft rental [IS] per ASMs [cents]</v>
      </c>
      <c r="B61" s="4">
        <f>IFERROR(B21*100/'Annual Operational Data'!B33,"")</f>
        <v>0</v>
      </c>
      <c r="C61" s="4">
        <f>IFERROR(C21*100/'Annual Operational Data'!C33,"")</f>
        <v>0</v>
      </c>
      <c r="D61" s="4">
        <f>IFERROR(D21*100/'Annual Operational Data'!D33,"")</f>
        <v>0</v>
      </c>
      <c r="E61" s="4">
        <f>IFERROR(E21*100/'Annual Operational Data'!E33,"")</f>
        <v>0</v>
      </c>
      <c r="F61" s="4">
        <f>IFERROR(F21*100/'Annual Operational Data'!F33,"")</f>
        <v>0</v>
      </c>
      <c r="G61" s="4">
        <f>IFERROR(G21*100/'Annual Operational Data'!G33,"")</f>
        <v>0</v>
      </c>
      <c r="H61" s="4">
        <f>IFERROR(H21*100/'Annual Operational Data'!H33,"")</f>
        <v>0</v>
      </c>
      <c r="I61" s="4">
        <f>IFERROR(I21*100/'Annual Operational Data'!I33,"")</f>
        <v>0</v>
      </c>
      <c r="J61" s="4">
        <f>IFERROR(J21*100/'Annual Operational Data'!J33,"")</f>
        <v>0</v>
      </c>
      <c r="K61" s="4">
        <f>IFERROR(K21*100/'Annual Operational Data'!K33,"")</f>
        <v>0</v>
      </c>
      <c r="L61" s="4">
        <f>IFERROR(L21*100/'Annual Operational Data'!L33,"")</f>
        <v>0</v>
      </c>
      <c r="M61" s="4">
        <f>IFERROR(M21*100/'Annual Operational Data'!M33,"")</f>
        <v>0</v>
      </c>
    </row>
    <row r="62" spans="1:13" x14ac:dyDescent="0.3">
      <c r="A62" s="85" t="s">
        <v>0</v>
      </c>
      <c r="B62" s="61">
        <f>IFERROR((B61/A61)-1,0)</f>
        <v>0</v>
      </c>
      <c r="C62" s="61">
        <f t="shared" ref="C62:L62" si="164">IFERROR((C61/B61)-1,0)</f>
        <v>0</v>
      </c>
      <c r="D62" s="61">
        <f t="shared" si="164"/>
        <v>0</v>
      </c>
      <c r="E62" s="61">
        <f t="shared" si="164"/>
        <v>0</v>
      </c>
      <c r="F62" s="61">
        <f t="shared" si="164"/>
        <v>0</v>
      </c>
      <c r="G62" s="61">
        <f t="shared" si="164"/>
        <v>0</v>
      </c>
      <c r="H62" s="61">
        <f t="shared" si="164"/>
        <v>0</v>
      </c>
      <c r="I62" s="61">
        <f t="shared" si="164"/>
        <v>0</v>
      </c>
      <c r="J62" s="61">
        <f t="shared" si="164"/>
        <v>0</v>
      </c>
      <c r="K62" s="61">
        <f t="shared" si="164"/>
        <v>0</v>
      </c>
      <c r="L62" s="61">
        <f t="shared" si="164"/>
        <v>0</v>
      </c>
      <c r="M62" s="61">
        <f>IFERROR((M61/J61)-1,0)</f>
        <v>0</v>
      </c>
    </row>
    <row r="63" spans="1:13" x14ac:dyDescent="0.3">
      <c r="A63" s="85" t="str">
        <f>("Charter &amp; capacity hire per " &amp; 'Annual Operational Data'!$A$33 &amp; " [cents]")</f>
        <v>Charter &amp; capacity hire per ASMs [cents]</v>
      </c>
      <c r="B63" s="4">
        <f>IFERROR(B23*100/'Annual Operational Data'!B33,"")</f>
        <v>1.4278519501784777</v>
      </c>
      <c r="C63" s="4">
        <f>IFERROR(C23*100/'Annual Operational Data'!C33,"")</f>
        <v>1.5262264021165775</v>
      </c>
      <c r="D63" s="4">
        <f>IFERROR(D23*100/'Annual Operational Data'!D33,"")</f>
        <v>1.5941757109236545</v>
      </c>
      <c r="E63" s="4">
        <f>IFERROR(E23*100/'Annual Operational Data'!E33,"")</f>
        <v>1.5902804460841158</v>
      </c>
      <c r="F63" s="4">
        <f>IFERROR(F23*100/'Annual Operational Data'!F33,"")</f>
        <v>1.537135430538233</v>
      </c>
      <c r="G63" s="4">
        <f>IFERROR(G23*100/'Annual Operational Data'!G33,"")</f>
        <v>2.2056998360904578</v>
      </c>
      <c r="H63" s="4">
        <f>IFERROR(H23*100/'Annual Operational Data'!H33,"")</f>
        <v>1.9595683716167749</v>
      </c>
      <c r="I63" s="4">
        <f>IFERROR(I23*100/'Annual Operational Data'!I33,"")</f>
        <v>1.9479559967093651</v>
      </c>
      <c r="J63" s="4">
        <f>IFERROR(J23*100/'Annual Operational Data'!J33,"")</f>
        <v>1.7455603677165037</v>
      </c>
      <c r="K63" s="4">
        <f>IFERROR(K23*100/'Annual Operational Data'!K33,"")</f>
        <v>1.6306718992302538</v>
      </c>
      <c r="L63" s="4">
        <f>IFERROR(L23*100/'Annual Operational Data'!L33,"")</f>
        <v>2.189508110400237</v>
      </c>
      <c r="M63" s="4">
        <f>IFERROR(M23*100/'Annual Operational Data'!M33,"")</f>
        <v>2.8732449999106406</v>
      </c>
    </row>
    <row r="64" spans="1:13" x14ac:dyDescent="0.3">
      <c r="A64" s="85" t="s">
        <v>0</v>
      </c>
      <c r="B64" s="61">
        <f>IFERROR((B63/A63)-1,0)</f>
        <v>0</v>
      </c>
      <c r="C64" s="61">
        <f t="shared" ref="C64:L64" si="165">IFERROR((C63/B63)-1,0)</f>
        <v>6.8896815195583327E-2</v>
      </c>
      <c r="D64" s="61">
        <f t="shared" si="165"/>
        <v>4.4521120007388504E-2</v>
      </c>
      <c r="E64" s="61">
        <f t="shared" si="165"/>
        <v>-2.443435069827915E-3</v>
      </c>
      <c r="F64" s="61">
        <f t="shared" si="165"/>
        <v>-3.3418643659202552E-2</v>
      </c>
      <c r="G64" s="61">
        <f t="shared" si="165"/>
        <v>0.43494177043211146</v>
      </c>
      <c r="H64" s="61">
        <f t="shared" si="165"/>
        <v>-0.11158883019638077</v>
      </c>
      <c r="I64" s="61">
        <f t="shared" si="165"/>
        <v>-5.9259860873488446E-3</v>
      </c>
      <c r="J64" s="61">
        <f t="shared" si="165"/>
        <v>-0.10390154055572276</v>
      </c>
      <c r="K64" s="61">
        <f t="shared" si="165"/>
        <v>-6.5817528062088182E-2</v>
      </c>
      <c r="L64" s="61">
        <f t="shared" si="165"/>
        <v>0.34270303635806654</v>
      </c>
      <c r="M64" s="61">
        <f>IFERROR((M63/J63)-1,0)</f>
        <v>0.64603015343969128</v>
      </c>
    </row>
    <row r="65" spans="1:13" x14ac:dyDescent="0.3">
      <c r="A65" s="85" t="str">
        <f>("Other operating expenses per " &amp; 'Annual Operational Data'!$A$33 &amp; " [cents]")</f>
        <v>Other operating expenses per ASMs [cents]</v>
      </c>
      <c r="B65" s="4">
        <f>IFERROR(B25*100/'Annual Operational Data'!B33,"")</f>
        <v>2.195284154664126</v>
      </c>
      <c r="C65" s="4">
        <f>IFERROR(C25*100/'Annual Operational Data'!C33,"")</f>
        <v>1.871643543971476</v>
      </c>
      <c r="D65" s="4">
        <f>IFERROR(D25*100/'Annual Operational Data'!D33,"")</f>
        <v>1.9406709913762774</v>
      </c>
      <c r="E65" s="4">
        <f>IFERROR(E25*100/'Annual Operational Data'!E33,"")</f>
        <v>1.7007362562306527</v>
      </c>
      <c r="F65" s="4">
        <f>IFERROR(F25*100/'Annual Operational Data'!F33,"")</f>
        <v>1.6554766523478601</v>
      </c>
      <c r="G65" s="4">
        <f>IFERROR(G25*100/'Annual Operational Data'!G33,"")</f>
        <v>1.3327111339607547</v>
      </c>
      <c r="H65" s="4">
        <f>IFERROR(H25*100/'Annual Operational Data'!H33,"")</f>
        <v>1.2092685216870962</v>
      </c>
      <c r="I65" s="4">
        <f>IFERROR(I25*100/'Annual Operational Data'!I33,"")</f>
        <v>1.2229620567800867</v>
      </c>
      <c r="J65" s="4">
        <f>IFERROR(J25*100/'Annual Operational Data'!J33,"")</f>
        <v>1.2047707322636636</v>
      </c>
      <c r="K65" s="4">
        <f>IFERROR(K25*100/'Annual Operational Data'!K33,"")</f>
        <v>1.3814950789054341</v>
      </c>
      <c r="L65" s="4">
        <f>IFERROR(L25*100/'Annual Operational Data'!L33,"")</f>
        <v>2.6753934277174163</v>
      </c>
      <c r="M65" s="4">
        <f>IFERROR(M25*100/'Annual Operational Data'!M33,"")</f>
        <v>3.8492361586104455</v>
      </c>
    </row>
    <row r="66" spans="1:13" x14ac:dyDescent="0.3">
      <c r="A66" s="85" t="s">
        <v>0</v>
      </c>
      <c r="B66" s="61">
        <f>IFERROR((B65/A65)-1,0)</f>
        <v>0</v>
      </c>
      <c r="C66" s="61">
        <f t="shared" ref="C66:L66" si="166">IFERROR((C65/B65)-1,0)</f>
        <v>-0.14742538454761733</v>
      </c>
      <c r="D66" s="61">
        <f t="shared" si="166"/>
        <v>3.6880659048106335E-2</v>
      </c>
      <c r="E66" s="61">
        <f t="shared" si="166"/>
        <v>-0.12363493668520742</v>
      </c>
      <c r="F66" s="61">
        <f t="shared" si="166"/>
        <v>-2.6611771059142142E-2</v>
      </c>
      <c r="G66" s="61">
        <f t="shared" si="166"/>
        <v>-0.19496833007541792</v>
      </c>
      <c r="H66" s="61">
        <f t="shared" si="166"/>
        <v>-9.2625182703165998E-2</v>
      </c>
      <c r="I66" s="61">
        <f t="shared" si="166"/>
        <v>1.132381671019278E-2</v>
      </c>
      <c r="J66" s="61">
        <f t="shared" si="166"/>
        <v>-1.4874806961974518E-2</v>
      </c>
      <c r="K66" s="61">
        <f t="shared" si="166"/>
        <v>0.14668711806247159</v>
      </c>
      <c r="L66" s="61">
        <f t="shared" si="166"/>
        <v>0.93659280338308903</v>
      </c>
      <c r="M66" s="61">
        <f>IFERROR((M65/J65)-1,0)</f>
        <v>2.1949947450815412</v>
      </c>
    </row>
    <row r="67" spans="1:13" x14ac:dyDescent="0.3">
      <c r="A67" s="85" t="str">
        <f>("Aircraft rental expense [IS] per " &amp; 'Annual Operational Data'!$A$33 &amp; " [cents]")</f>
        <v>Aircraft rental expense [IS] per ASMs [cents]</v>
      </c>
      <c r="B67" s="4">
        <f>IFERROR(B27*100/'Annual Operational Data'!B33,"")</f>
        <v>0.52894729631879367</v>
      </c>
      <c r="C67" s="4">
        <f>IFERROR(C27*100/'Annual Operational Data'!C33,"")</f>
        <v>0.50975657498410121</v>
      </c>
      <c r="D67" s="4">
        <f>IFERROR(D27*100/'Annual Operational Data'!D33,"")</f>
        <v>0.49966701387159324</v>
      </c>
      <c r="E67" s="4">
        <f>IFERROR(E27*100/'Annual Operational Data'!E33,"")</f>
        <v>0.45031984136665082</v>
      </c>
      <c r="F67" s="4">
        <f>IFERROR(F27*100/'Annual Operational Data'!F33,"")</f>
        <v>0.40704178490564041</v>
      </c>
      <c r="G67" s="4">
        <f>IFERROR(G27*100/'Annual Operational Data'!G33,"")</f>
        <v>0.34164635460286596</v>
      </c>
      <c r="H67" s="4">
        <f>IFERROR(H27*100/'Annual Operational Data'!H33,"")</f>
        <v>0.37596369920554401</v>
      </c>
      <c r="I67" s="4">
        <f>IFERROR(I27*100/'Annual Operational Data'!I33,"")</f>
        <v>0.37440652133924746</v>
      </c>
      <c r="J67" s="4">
        <f>IFERROR(J27*100/'Annual Operational Data'!J33,"")</f>
        <v>0</v>
      </c>
      <c r="K67" s="4">
        <f>IFERROR(K27*100/'Annual Operational Data'!K33,"")</f>
        <v>0</v>
      </c>
      <c r="L67" s="4">
        <f>IFERROR(L27*100/'Annual Operational Data'!L33,"")</f>
        <v>0</v>
      </c>
      <c r="M67" s="4">
        <f>IFERROR(M27*100/'Annual Operational Data'!M33,"")</f>
        <v>0</v>
      </c>
    </row>
    <row r="68" spans="1:13" x14ac:dyDescent="0.3">
      <c r="A68" s="85" t="s">
        <v>0</v>
      </c>
      <c r="B68" s="61">
        <f>IFERROR((B67/A67)-1,0)</f>
        <v>0</v>
      </c>
      <c r="C68" s="61">
        <f t="shared" ref="C68:L68" si="167">IFERROR((C67/B67)-1,0)</f>
        <v>-3.6280970652936895E-2</v>
      </c>
      <c r="D68" s="61">
        <f t="shared" si="167"/>
        <v>-1.979290039137338E-2</v>
      </c>
      <c r="E68" s="61">
        <f t="shared" si="167"/>
        <v>-9.876011650755856E-2</v>
      </c>
      <c r="F68" s="61">
        <f t="shared" si="167"/>
        <v>-9.610515124021235E-2</v>
      </c>
      <c r="G68" s="61">
        <f t="shared" si="167"/>
        <v>-0.16066023864831047</v>
      </c>
      <c r="H68" s="61">
        <f t="shared" si="167"/>
        <v>0.10044698016043219</v>
      </c>
      <c r="I68" s="61">
        <f t="shared" si="167"/>
        <v>-4.1418303670994749E-3</v>
      </c>
      <c r="J68" s="61">
        <f t="shared" si="167"/>
        <v>-1</v>
      </c>
      <c r="K68" s="61">
        <f t="shared" si="167"/>
        <v>0</v>
      </c>
      <c r="L68" s="61">
        <f t="shared" si="167"/>
        <v>0</v>
      </c>
      <c r="M68" s="61">
        <f>IFERROR((M67/J67)-1,0)</f>
        <v>0</v>
      </c>
    </row>
    <row r="69" spans="1:13" x14ac:dyDescent="0.3">
      <c r="A69" s="85" t="str">
        <f>("Depreciation &amp; amortisation per " &amp; 'Annual Operational Data'!$A$33 &amp; " [cents]")</f>
        <v>Depreciation &amp; amortisation per ASMs [cents]</v>
      </c>
      <c r="B69" s="4">
        <f>IFERROR(B29*100/'Annual Operational Data'!B33,"")</f>
        <v>1.0380208502903492</v>
      </c>
      <c r="C69" s="4">
        <f>IFERROR(C29*100/'Annual Operational Data'!C33,"")</f>
        <v>1.1077695122042557</v>
      </c>
      <c r="D69" s="4">
        <f>IFERROR(D29*100/'Annual Operational Data'!D33,"")</f>
        <v>1.0082566529908934</v>
      </c>
      <c r="E69" s="4">
        <f>IFERROR(E29*100/'Annual Operational Data'!E33,"")</f>
        <v>0.81850587518844076</v>
      </c>
      <c r="F69" s="4">
        <f>IFERROR(F29*100/'Annual Operational Data'!F33,"")</f>
        <v>0.70614597189700556</v>
      </c>
      <c r="G69" s="4">
        <f>IFERROR(G29*100/'Annual Operational Data'!G33,"")</f>
        <v>0.63393303757755581</v>
      </c>
      <c r="H69" s="4">
        <f>IFERROR(H29*100/'Annual Operational Data'!H33,"")</f>
        <v>0.6640397804149869</v>
      </c>
      <c r="I69" s="4">
        <f>IFERROR(I29*100/'Annual Operational Data'!I33,"")</f>
        <v>0.71159569463284411</v>
      </c>
      <c r="J69" s="4">
        <f>IFERROR(J29*100/'Annual Operational Data'!J33,"")</f>
        <v>1.1950267748681169</v>
      </c>
      <c r="K69" s="4">
        <f>IFERROR(K29*100/'Annual Operational Data'!K33,"")</f>
        <v>1.3267162604962246</v>
      </c>
      <c r="L69" s="4">
        <f>IFERROR(L29*100/'Annual Operational Data'!L33,"")</f>
        <v>3.7278089282965357</v>
      </c>
      <c r="M69" s="4">
        <f>IFERROR(M29*100/'Annual Operational Data'!M33,"")</f>
        <v>5.031979338467842</v>
      </c>
    </row>
    <row r="70" spans="1:13" x14ac:dyDescent="0.3">
      <c r="A70" s="85" t="s">
        <v>0</v>
      </c>
      <c r="B70" s="61">
        <f>IFERROR((B69/A69)-1,0)</f>
        <v>0</v>
      </c>
      <c r="C70" s="61">
        <f t="shared" ref="C70:L70" si="168">IFERROR((C69/B69)-1,0)</f>
        <v>6.7193892968909763E-2</v>
      </c>
      <c r="D70" s="61">
        <f t="shared" si="168"/>
        <v>-8.9831736762054581E-2</v>
      </c>
      <c r="E70" s="61">
        <f t="shared" si="168"/>
        <v>-0.18819690129450251</v>
      </c>
      <c r="F70" s="61">
        <f t="shared" si="168"/>
        <v>-0.13727440046238781</v>
      </c>
      <c r="G70" s="61">
        <f t="shared" si="168"/>
        <v>-0.10226346561951682</v>
      </c>
      <c r="H70" s="61">
        <f t="shared" si="168"/>
        <v>4.7491992139229389E-2</v>
      </c>
      <c r="I70" s="61">
        <f t="shared" si="168"/>
        <v>7.1616062200577035E-2</v>
      </c>
      <c r="J70" s="61">
        <f t="shared" si="168"/>
        <v>0.6793620083447871</v>
      </c>
      <c r="K70" s="61">
        <f t="shared" si="168"/>
        <v>0.11019793731620853</v>
      </c>
      <c r="L70" s="61">
        <f t="shared" si="168"/>
        <v>1.8098011905742704</v>
      </c>
      <c r="M70" s="61">
        <f>IFERROR((M69/J69)-1,0)</f>
        <v>3.2107670257205498</v>
      </c>
    </row>
    <row r="71" spans="1:13" x14ac:dyDescent="0.3">
      <c r="A71" s="14" t="str">
        <f>("Total Operating Costs per " &amp; 'Annual Operational Data'!$A$33 &amp; " [cents]")</f>
        <v>Total Operating Costs per ASMs [cents]</v>
      </c>
      <c r="B71" s="77">
        <f>IFERROR(B31*100/'Annual Operational Data'!B33,"")</f>
        <v>15.937212613073475</v>
      </c>
      <c r="C71" s="77">
        <f>IFERROR(C31*100/'Annual Operational Data'!C33,"")</f>
        <v>17.397154990427552</v>
      </c>
      <c r="D71" s="77">
        <f>IFERROR(D31*100/'Annual Operational Data'!D33,"")</f>
        <v>17.373838461493524</v>
      </c>
      <c r="E71" s="77">
        <f>IFERROR(E31*100/'Annual Operational Data'!E33,"")</f>
        <v>16.657585830175826</v>
      </c>
      <c r="F71" s="77">
        <f>IFERROR(F31*100/'Annual Operational Data'!F33,"")</f>
        <v>16.199742858049721</v>
      </c>
      <c r="G71" s="77">
        <f>IFERROR(G31*100/'Annual Operational Data'!G33,"")</f>
        <v>11.966332941387636</v>
      </c>
      <c r="H71" s="77">
        <f>IFERROR(H31*100/'Annual Operational Data'!H33,"")</f>
        <v>10.775184721170149</v>
      </c>
      <c r="I71" s="77">
        <f>IFERROR(I31*100/'Annual Operational Data'!I33,"")</f>
        <v>11.059507145245606</v>
      </c>
      <c r="J71" s="77">
        <f>IFERROR(J31*100/'Annual Operational Data'!J33,"")</f>
        <v>11.488821766306353</v>
      </c>
      <c r="K71" s="77">
        <f>IFERROR(K31*100/'Annual Operational Data'!K33,"")</f>
        <v>11.67790883672432</v>
      </c>
      <c r="L71" s="77">
        <f>IFERROR(L31*100/'Annual Operational Data'!L33,"")</f>
        <v>18.745899088859488</v>
      </c>
      <c r="M71" s="77">
        <f>IFERROR(M31*100/'Annual Operational Data'!M33,"")</f>
        <v>24.463628856382023</v>
      </c>
    </row>
    <row r="72" spans="1:13" x14ac:dyDescent="0.3">
      <c r="A72" s="85" t="s">
        <v>0</v>
      </c>
      <c r="B72" s="61">
        <f>IFERROR((B71/A71)-1,0)</f>
        <v>0</v>
      </c>
      <c r="C72" s="61">
        <f t="shared" ref="C72:L72" si="169">IFERROR((C71/B71)-1,0)</f>
        <v>9.1605879446978733E-2</v>
      </c>
      <c r="D72" s="61">
        <f t="shared" si="169"/>
        <v>-1.3402495377466961E-3</v>
      </c>
      <c r="E72" s="61">
        <f t="shared" si="169"/>
        <v>-4.1225929025710872E-2</v>
      </c>
      <c r="F72" s="61">
        <f t="shared" si="169"/>
        <v>-2.7485553836781418E-2</v>
      </c>
      <c r="G72" s="61">
        <f t="shared" si="169"/>
        <v>-0.26132574780706996</v>
      </c>
      <c r="H72" s="61">
        <f t="shared" si="169"/>
        <v>-9.9541624493640346E-2</v>
      </c>
      <c r="I72" s="61">
        <f t="shared" si="169"/>
        <v>2.6386779571105246E-2</v>
      </c>
      <c r="J72" s="61">
        <f t="shared" si="169"/>
        <v>3.8818603344843217E-2</v>
      </c>
      <c r="K72" s="61">
        <f t="shared" si="169"/>
        <v>1.6458351801793114E-2</v>
      </c>
      <c r="L72" s="61">
        <f t="shared" si="169"/>
        <v>0.60524451346186003</v>
      </c>
      <c r="M72" s="61">
        <f>IFERROR((M71/J71)-1,0)</f>
        <v>1.129341838005296</v>
      </c>
    </row>
    <row r="73" spans="1:13" x14ac:dyDescent="0.3">
      <c r="A73" s="14" t="str">
        <f>("Total Operating Costs ex-fuel per " &amp; 'Annual Operational Data'!$A$33 &amp;" [cents]")</f>
        <v>Total Operating Costs ex-fuel per ASMs [cents]</v>
      </c>
      <c r="B73" s="77">
        <f>IFERROR(B33*100/'Annual Operational Data'!B33,"")</f>
        <v>11.882969174236941</v>
      </c>
      <c r="C73" s="77">
        <f>IFERROR(C33*100/'Annual Operational Data'!C33,"")</f>
        <v>12.261547705139963</v>
      </c>
      <c r="D73" s="77">
        <f>IFERROR(D33*100/'Annual Operational Data'!D33,"")</f>
        <v>12.078260376979406</v>
      </c>
      <c r="E73" s="77">
        <f>IFERROR(E33*100/'Annual Operational Data'!E33,"")</f>
        <v>11.653087970459653</v>
      </c>
      <c r="F73" s="77">
        <f>IFERROR(F33*100/'Annual Operational Data'!F33,"")</f>
        <v>11.326945516064308</v>
      </c>
      <c r="G73" s="77">
        <f>IFERROR(G33*100/'Annual Operational Data'!G33,"")</f>
        <v>9.5815833160577153</v>
      </c>
      <c r="H73" s="77">
        <f>IFERROR(H33*100/'Annual Operational Data'!H33,"")</f>
        <v>8.9205932266042716</v>
      </c>
      <c r="I73" s="77">
        <f>IFERROR(I33*100/'Annual Operational Data'!I33,"")</f>
        <v>8.8808035906532048</v>
      </c>
      <c r="J73" s="77">
        <f>IFERROR(J33*100/'Annual Operational Data'!J33,"")</f>
        <v>8.7264098446688703</v>
      </c>
      <c r="K73" s="77">
        <f>IFERROR(K33*100/'Annual Operational Data'!K33,"")</f>
        <v>9.097960096524714</v>
      </c>
      <c r="L73" s="77">
        <f>IFERROR(L33*100/'Annual Operational Data'!L33,"")</f>
        <v>16.080586269385169</v>
      </c>
      <c r="M73" s="77">
        <f>IFERROR(M33*100/'Annual Operational Data'!M33,"")</f>
        <v>21.125191808866798</v>
      </c>
    </row>
    <row r="74" spans="1:13" x14ac:dyDescent="0.3">
      <c r="A74" s="85" t="s">
        <v>0</v>
      </c>
      <c r="B74" s="61">
        <f>IFERROR((B73/A73)-1,0)</f>
        <v>0</v>
      </c>
      <c r="C74" s="61">
        <f t="shared" ref="C74:L74" si="170">IFERROR((C73/B73)-1,0)</f>
        <v>3.1858917190815017E-2</v>
      </c>
      <c r="D74" s="61">
        <f t="shared" si="170"/>
        <v>-1.4948139710268649E-2</v>
      </c>
      <c r="E74" s="61">
        <f t="shared" si="170"/>
        <v>-3.5201460578719757E-2</v>
      </c>
      <c r="F74" s="61">
        <f t="shared" si="170"/>
        <v>-2.7987642007175295E-2</v>
      </c>
      <c r="G74" s="61">
        <f t="shared" si="170"/>
        <v>-0.15408939661016763</v>
      </c>
      <c r="H74" s="61">
        <f t="shared" si="170"/>
        <v>-6.8985476371707266E-2</v>
      </c>
      <c r="I74" s="61">
        <f t="shared" si="170"/>
        <v>-4.4604248776192179E-3</v>
      </c>
      <c r="J74" s="61">
        <f t="shared" si="170"/>
        <v>-1.7385109850512781E-2</v>
      </c>
      <c r="K74" s="61">
        <f t="shared" si="170"/>
        <v>4.2577676096984041E-2</v>
      </c>
      <c r="L74" s="61">
        <f t="shared" si="170"/>
        <v>0.76749360282726609</v>
      </c>
      <c r="M74" s="61">
        <f>IFERROR((M73/J73)-1,0)</f>
        <v>1.4208342474050286</v>
      </c>
    </row>
    <row r="75" spans="1:13" x14ac:dyDescent="0.3">
      <c r="A75" s="85"/>
      <c r="B75" s="218"/>
      <c r="C75" s="218"/>
      <c r="D75" s="218"/>
      <c r="E75" s="218"/>
      <c r="F75" s="218"/>
      <c r="G75" s="218"/>
      <c r="H75" s="218"/>
      <c r="I75" s="218"/>
      <c r="J75" s="218"/>
      <c r="K75" s="218"/>
      <c r="L75" s="218"/>
      <c r="M75" s="218"/>
    </row>
    <row r="76" spans="1:13" x14ac:dyDescent="0.3">
      <c r="A76" s="85" t="s">
        <v>285</v>
      </c>
      <c r="B76" s="21" t="str">
        <f>IFERROR(B9*1000000/'Annual Operational Data'!B16, "N/A")</f>
        <v>N/A</v>
      </c>
      <c r="C76" s="21">
        <f>IFERROR(C9*1000000/'Annual Operational Data'!C16, "N/A")</f>
        <v>85680.454936965049</v>
      </c>
      <c r="D76" s="21">
        <f>IFERROR(D9*1000000/'Annual Operational Data'!D16, "N/A")</f>
        <v>83258.484584848877</v>
      </c>
      <c r="E76" s="21">
        <f>IFERROR(E9*1000000/'Annual Operational Data'!E16, "N/A")</f>
        <v>86694.844159510511</v>
      </c>
      <c r="F76" s="21">
        <f>IFERROR(F9*1000000/'Annual Operational Data'!F16, "N/A")</f>
        <v>89683.226033759318</v>
      </c>
      <c r="G76" s="21">
        <f>IFERROR(G9*1000000/'Annual Operational Data'!G16, "N/A")</f>
        <v>73792.818628317546</v>
      </c>
      <c r="H76" s="21">
        <f>IFERROR(H9*1000000/'Annual Operational Data'!H16, "N/A")</f>
        <v>74274.374867208666</v>
      </c>
      <c r="I76" s="21">
        <f>IFERROR(I9*1000000/'Annual Operational Data'!I16, "N/A")</f>
        <v>76347.939004861342</v>
      </c>
      <c r="J76" s="21">
        <f>IFERROR(J9*1000000/'Annual Operational Data'!J16, "N/A")</f>
        <v>76841.445830798912</v>
      </c>
      <c r="K76" s="21">
        <f>IFERROR(K9*1000000/'Annual Operational Data'!K16, "N/A")</f>
        <v>76419.680371806709</v>
      </c>
      <c r="L76" s="21">
        <f>IFERROR(L9*1000000/'Annual Operational Data'!L16, "N/A")</f>
        <v>51098.188759243072</v>
      </c>
      <c r="M76" s="21">
        <f>IFERROR(M9*1000000/'Annual Operational Data'!M16, "N/A")</f>
        <v>35649.178051073766</v>
      </c>
    </row>
    <row r="77" spans="1:13" x14ac:dyDescent="0.3">
      <c r="A77" s="85" t="s">
        <v>0</v>
      </c>
      <c r="B77" s="218"/>
      <c r="C77" s="218"/>
      <c r="D77" s="218"/>
      <c r="E77" s="218"/>
      <c r="F77" s="218"/>
      <c r="G77" s="218"/>
      <c r="H77" s="218"/>
      <c r="I77" s="218"/>
      <c r="J77" s="218"/>
      <c r="K77" s="218"/>
      <c r="L77" s="218"/>
      <c r="M77" s="218"/>
    </row>
  </sheetData>
  <pageMargins left="0.70866141732283472" right="0.70866141732283472" top="0.74803149606299213" bottom="0.74803149606299213" header="0.31496062992125984" footer="0.31496062992125984"/>
  <pageSetup paperSize="9" scale="48" orientation="portrait" r:id="rId1"/>
  <headerFooter alignWithMargins="0"/>
  <ignoredErrors>
    <ignoredError sqref="B50 B52:B78 B11:B35"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79998168889431442"/>
  </sheetPr>
  <dimension ref="A1:Y77"/>
  <sheetViews>
    <sheetView view="pageBreakPreview" zoomScale="85" zoomScaleNormal="115" zoomScaleSheetLayoutView="85" workbookViewId="0">
      <pane xSplit="1" ySplit="6" topLeftCell="J42" activePane="bottomRight" state="frozen"/>
      <selection pane="topRight" activeCell="B1" sqref="B1"/>
      <selection pane="bottomLeft" activeCell="A7" sqref="A7"/>
      <selection pane="bottomRight" activeCell="V50" sqref="V50"/>
    </sheetView>
  </sheetViews>
  <sheetFormatPr defaultColWidth="8.88671875" defaultRowHeight="14.4" x14ac:dyDescent="0.3"/>
  <cols>
    <col min="1" max="1" width="55" style="13" bestFit="1" customWidth="1"/>
    <col min="2" max="7" width="10.44140625" style="13" bestFit="1" customWidth="1"/>
    <col min="8" max="10" width="12.44140625" style="13" customWidth="1"/>
    <col min="11" max="11" width="11.88671875" style="13" customWidth="1"/>
    <col min="12" max="13" width="9.88671875" style="13" bestFit="1" customWidth="1"/>
    <col min="14" max="14" width="12.44140625" style="13" customWidth="1"/>
    <col min="15" max="15" width="11.88671875" style="13" customWidth="1"/>
    <col min="16" max="17" width="9.88671875" style="13" bestFit="1" customWidth="1"/>
    <col min="18" max="18" width="12.44140625" style="13" customWidth="1"/>
    <col min="19" max="19" width="11.88671875" style="13" customWidth="1"/>
    <col min="20" max="21" width="9.88671875" style="13" bestFit="1" customWidth="1"/>
    <col min="22" max="22" width="11" style="13" customWidth="1"/>
    <col min="23" max="23" width="9.6640625" style="13" customWidth="1"/>
    <col min="24" max="24" width="10.109375" style="13" customWidth="1"/>
    <col min="25" max="25" width="11" style="13" customWidth="1"/>
    <col min="26" max="16384" width="8.88671875" style="13"/>
  </cols>
  <sheetData>
    <row r="1" spans="1:25" ht="28.8" x14ac:dyDescent="0.55000000000000004">
      <c r="A1" s="349" t="str">
        <f>IF(Inputs!$E$14 ="Semi-annual",(Inputs!E9 &amp; " - Semi-Annual Cost Analysis"), (Inputs!E9 &amp; " - Qtrly Cost Analysis"))</f>
        <v>Air Canada - Qtrly Cost Analysis</v>
      </c>
      <c r="B1" s="349"/>
      <c r="C1" s="349"/>
      <c r="D1" s="349"/>
      <c r="E1" s="349"/>
      <c r="F1" s="349"/>
      <c r="G1" s="349"/>
      <c r="H1" s="349"/>
      <c r="I1" s="349"/>
      <c r="J1" s="349"/>
      <c r="K1" s="349"/>
      <c r="L1" s="349"/>
      <c r="M1" s="349"/>
      <c r="N1" s="349"/>
      <c r="O1" s="349"/>
      <c r="P1" s="349"/>
      <c r="Q1" s="349"/>
      <c r="R1" s="69"/>
      <c r="S1" s="69"/>
      <c r="T1" s="69"/>
      <c r="U1" s="349"/>
      <c r="V1" s="349"/>
      <c r="W1" s="349"/>
      <c r="X1" s="349"/>
      <c r="Y1" s="349"/>
    </row>
    <row r="2" spans="1:25" x14ac:dyDescent="0.3">
      <c r="A2" s="3"/>
      <c r="B2" s="3" t="str">
        <f>'Interim Operational Data'!B2</f>
        <v>Q1</v>
      </c>
      <c r="C2" s="3" t="str">
        <f>'Interim Operational Data'!C2</f>
        <v>Q2</v>
      </c>
      <c r="D2" s="3" t="str">
        <f>'Interim Operational Data'!D2</f>
        <v>Q3</v>
      </c>
      <c r="E2" s="3" t="str">
        <f>'Interim Operational Data'!E2</f>
        <v>Q4</v>
      </c>
      <c r="F2" s="3" t="str">
        <f>'Interim Operational Data'!F2</f>
        <v>Q1</v>
      </c>
      <c r="G2" s="3" t="str">
        <f>'Interim Operational Data'!G2</f>
        <v>Q2</v>
      </c>
      <c r="H2" s="3" t="str">
        <f>'Interim Operational Data'!H2</f>
        <v>Q3</v>
      </c>
      <c r="I2" s="3" t="str">
        <f>'Interim Operational Data'!I2</f>
        <v>Q4</v>
      </c>
      <c r="J2" s="3" t="str">
        <f>'Interim Operational Data'!J2</f>
        <v>Q1</v>
      </c>
      <c r="K2" s="3" t="str">
        <f>'Interim Operational Data'!K2</f>
        <v>Q2</v>
      </c>
      <c r="L2" s="3" t="str">
        <f>'Interim Operational Data'!L2</f>
        <v>Q3</v>
      </c>
      <c r="M2" s="3" t="str">
        <f>'Interim Operational Data'!M2</f>
        <v>Q4</v>
      </c>
      <c r="N2" s="3" t="str">
        <f>'Interim Operational Data'!N2</f>
        <v>Q1</v>
      </c>
      <c r="O2" s="3" t="str">
        <f>'Interim Operational Data'!O2</f>
        <v>Q2</v>
      </c>
      <c r="P2" s="3" t="str">
        <f>'Interim Operational Data'!P2</f>
        <v>Q3</v>
      </c>
      <c r="Q2" s="3" t="str">
        <f>'Interim Operational Data'!Q2</f>
        <v>Q4</v>
      </c>
      <c r="R2" s="3" t="str">
        <f>'Interim Operational Data'!R2</f>
        <v>Q1</v>
      </c>
      <c r="S2" s="3" t="str">
        <f>'Interim Operational Data'!S2</f>
        <v>Q2</v>
      </c>
      <c r="T2" s="3" t="str">
        <f>'Interim Operational Data'!T2</f>
        <v>Q3</v>
      </c>
      <c r="U2" s="3" t="str">
        <f>'Interim Operational Data'!U2</f>
        <v>Q4</v>
      </c>
      <c r="V2" s="3" t="str">
        <f>'Interim Operational Data'!V2</f>
        <v>Q1</v>
      </c>
      <c r="W2" s="3" t="str">
        <f>'Interim Operational Data'!W2</f>
        <v>Q2</v>
      </c>
      <c r="X2" s="3" t="str">
        <f>'Interim Operational Data'!X2</f>
        <v>Q3</v>
      </c>
      <c r="Y2" s="3" t="str">
        <f>'Interim Operational Data'!Y2</f>
        <v>Q4</v>
      </c>
    </row>
    <row r="3" spans="1:25" x14ac:dyDescent="0.3">
      <c r="A3" s="3"/>
      <c r="B3" s="67">
        <f>'Interim Operational Data'!B3</f>
        <v>42094</v>
      </c>
      <c r="C3" s="67">
        <f>'Interim Operational Data'!C3</f>
        <v>42185</v>
      </c>
      <c r="D3" s="67">
        <f>'Interim Operational Data'!D3</f>
        <v>42277</v>
      </c>
      <c r="E3" s="67">
        <f>'Interim Operational Data'!E3</f>
        <v>42369</v>
      </c>
      <c r="F3" s="67">
        <f>'Interim Operational Data'!F3</f>
        <v>42460</v>
      </c>
      <c r="G3" s="67">
        <f>'Interim Operational Data'!G3</f>
        <v>42551</v>
      </c>
      <c r="H3" s="67">
        <f>'Interim Operational Data'!H3</f>
        <v>42643</v>
      </c>
      <c r="I3" s="67">
        <f>'Interim Operational Data'!I3</f>
        <v>42735</v>
      </c>
      <c r="J3" s="67">
        <f>'Interim Operational Data'!J3</f>
        <v>42825</v>
      </c>
      <c r="K3" s="67">
        <f>'Interim Operational Data'!K3</f>
        <v>42916</v>
      </c>
      <c r="L3" s="67">
        <f>'Interim Operational Data'!L3</f>
        <v>43008</v>
      </c>
      <c r="M3" s="67">
        <f>'Interim Operational Data'!M3</f>
        <v>43100</v>
      </c>
      <c r="N3" s="67">
        <f>'Interim Operational Data'!N3</f>
        <v>43190</v>
      </c>
      <c r="O3" s="67">
        <f>'Interim Operational Data'!O3</f>
        <v>43281</v>
      </c>
      <c r="P3" s="67">
        <f>'Interim Operational Data'!P3</f>
        <v>43373</v>
      </c>
      <c r="Q3" s="67">
        <f>'Interim Operational Data'!Q3</f>
        <v>43465</v>
      </c>
      <c r="R3" s="67">
        <f>'Interim Operational Data'!R3</f>
        <v>43555</v>
      </c>
      <c r="S3" s="67">
        <f>'Interim Operational Data'!S3</f>
        <v>43646</v>
      </c>
      <c r="T3" s="67">
        <f>'Interim Operational Data'!T3</f>
        <v>43738</v>
      </c>
      <c r="U3" s="67">
        <f>'Interim Operational Data'!U3</f>
        <v>43830</v>
      </c>
      <c r="V3" s="67">
        <f>'Interim Operational Data'!V3</f>
        <v>43921</v>
      </c>
      <c r="W3" s="67">
        <f>'Interim Operational Data'!W3</f>
        <v>44012</v>
      </c>
      <c r="X3" s="67">
        <f>'Interim Operational Data'!X3</f>
        <v>44104</v>
      </c>
      <c r="Y3" s="67">
        <f>'Interim Operational Data'!Y3</f>
        <v>44196</v>
      </c>
    </row>
    <row r="4" spans="1:25" x14ac:dyDescent="0.3">
      <c r="A4" s="3"/>
      <c r="B4" s="3" t="s">
        <v>1</v>
      </c>
      <c r="C4" s="3" t="s">
        <v>1</v>
      </c>
      <c r="D4" s="3" t="s">
        <v>1</v>
      </c>
      <c r="E4" s="3" t="s">
        <v>1</v>
      </c>
      <c r="F4" s="3" t="s">
        <v>1</v>
      </c>
      <c r="G4" s="3" t="s">
        <v>1</v>
      </c>
      <c r="H4" s="3" t="s">
        <v>1</v>
      </c>
      <c r="I4" s="3" t="s">
        <v>1</v>
      </c>
      <c r="J4" s="3" t="s">
        <v>1</v>
      </c>
      <c r="K4" s="3" t="s">
        <v>1</v>
      </c>
      <c r="L4" s="3" t="s">
        <v>1</v>
      </c>
      <c r="M4" s="3" t="s">
        <v>1</v>
      </c>
      <c r="N4" s="3" t="s">
        <v>1</v>
      </c>
      <c r="O4" s="3" t="s">
        <v>1</v>
      </c>
      <c r="P4" s="3" t="s">
        <v>1</v>
      </c>
      <c r="Q4" s="3" t="s">
        <v>1</v>
      </c>
      <c r="R4" s="3" t="s">
        <v>1</v>
      </c>
      <c r="S4" s="3" t="s">
        <v>1</v>
      </c>
      <c r="T4" s="3" t="s">
        <v>1</v>
      </c>
      <c r="U4" s="3" t="s">
        <v>1</v>
      </c>
      <c r="V4" s="3" t="s">
        <v>1</v>
      </c>
      <c r="W4" s="3" t="s">
        <v>1</v>
      </c>
      <c r="X4" s="3" t="s">
        <v>1</v>
      </c>
      <c r="Y4" s="3" t="s">
        <v>1</v>
      </c>
    </row>
    <row r="5" spans="1:25" x14ac:dyDescent="0.3">
      <c r="A5" s="3"/>
      <c r="B5" s="3" t="str">
        <f>Inputs!$E$18</f>
        <v>CAD</v>
      </c>
      <c r="C5" s="3" t="str">
        <f>Inputs!$E$18</f>
        <v>CAD</v>
      </c>
      <c r="D5" s="3" t="str">
        <f>Inputs!$E$18</f>
        <v>CAD</v>
      </c>
      <c r="E5" s="3" t="str">
        <f>Inputs!$E$18</f>
        <v>CAD</v>
      </c>
      <c r="F5" s="3" t="str">
        <f>Inputs!$E$18</f>
        <v>CAD</v>
      </c>
      <c r="G5" s="3" t="str">
        <f>Inputs!$E$18</f>
        <v>CAD</v>
      </c>
      <c r="H5" s="3" t="str">
        <f>Inputs!$E$18</f>
        <v>CAD</v>
      </c>
      <c r="I5" s="3" t="str">
        <f>Inputs!$E$18</f>
        <v>CAD</v>
      </c>
      <c r="J5" s="3" t="str">
        <f>Inputs!$E$18</f>
        <v>CAD</v>
      </c>
      <c r="K5" s="3" t="str">
        <f>Inputs!$E$18</f>
        <v>CAD</v>
      </c>
      <c r="L5" s="3" t="str">
        <f>Inputs!$E$18</f>
        <v>CAD</v>
      </c>
      <c r="M5" s="3" t="str">
        <f>Inputs!$E$18</f>
        <v>CAD</v>
      </c>
      <c r="N5" s="3" t="str">
        <f>Inputs!$E$18</f>
        <v>CAD</v>
      </c>
      <c r="O5" s="3" t="str">
        <f>Inputs!$E$18</f>
        <v>CAD</v>
      </c>
      <c r="P5" s="3" t="str">
        <f>Inputs!$E$18</f>
        <v>CAD</v>
      </c>
      <c r="Q5" s="3" t="str">
        <f>Inputs!$E$18</f>
        <v>CAD</v>
      </c>
      <c r="R5" s="3" t="str">
        <f>Inputs!$E$18</f>
        <v>CAD</v>
      </c>
      <c r="S5" s="3" t="str">
        <f>Inputs!$E$18</f>
        <v>CAD</v>
      </c>
      <c r="T5" s="3" t="str">
        <f>Inputs!$E$18</f>
        <v>CAD</v>
      </c>
      <c r="U5" s="3" t="str">
        <f>Inputs!$E$18</f>
        <v>CAD</v>
      </c>
      <c r="V5" s="3" t="str">
        <f>Inputs!$E$18</f>
        <v>CAD</v>
      </c>
      <c r="W5" s="3" t="str">
        <f>Inputs!$E$18</f>
        <v>CAD</v>
      </c>
      <c r="X5" s="3" t="str">
        <f>Inputs!$E$18</f>
        <v>CAD</v>
      </c>
      <c r="Y5" s="3" t="str">
        <f>Inputs!$E$18</f>
        <v>CAD</v>
      </c>
    </row>
    <row r="6" spans="1:25" x14ac:dyDescent="0.3">
      <c r="A6" s="3"/>
      <c r="B6" s="3"/>
      <c r="C6" s="3"/>
      <c r="D6" s="3"/>
      <c r="E6" s="3"/>
      <c r="F6" s="3"/>
      <c r="G6" s="3"/>
      <c r="H6" s="3"/>
      <c r="I6" s="3"/>
      <c r="J6" s="3"/>
      <c r="K6" s="3"/>
      <c r="L6" s="3"/>
      <c r="M6" s="3"/>
      <c r="N6" s="3"/>
      <c r="O6" s="3"/>
      <c r="P6" s="3"/>
      <c r="Q6" s="3"/>
      <c r="R6" s="3"/>
      <c r="S6" s="3"/>
      <c r="T6" s="3"/>
      <c r="U6" s="3"/>
      <c r="V6" s="3"/>
      <c r="W6" s="3"/>
      <c r="X6" s="3"/>
      <c r="Y6" s="3"/>
    </row>
    <row r="7" spans="1:25" x14ac:dyDescent="0.3">
      <c r="A7" s="3"/>
      <c r="B7" s="3"/>
      <c r="C7" s="3"/>
      <c r="D7" s="3"/>
      <c r="E7" s="3"/>
      <c r="F7" s="3"/>
      <c r="G7" s="3"/>
      <c r="H7" s="3"/>
      <c r="I7" s="3"/>
      <c r="J7" s="3"/>
      <c r="K7" s="3"/>
      <c r="L7" s="3"/>
      <c r="M7" s="3"/>
      <c r="N7" s="3"/>
      <c r="O7" s="3"/>
      <c r="P7" s="3"/>
      <c r="Q7" s="3"/>
      <c r="R7" s="3"/>
      <c r="S7" s="3"/>
      <c r="T7" s="3"/>
      <c r="U7" s="3"/>
      <c r="V7" s="3"/>
      <c r="W7" s="3"/>
      <c r="X7" s="3"/>
      <c r="Y7" s="3"/>
    </row>
    <row r="8" spans="1:25" x14ac:dyDescent="0.3">
      <c r="A8" s="8" t="s">
        <v>284</v>
      </c>
      <c r="B8" s="10"/>
      <c r="C8" s="10"/>
      <c r="D8" s="10"/>
      <c r="E8" s="10"/>
      <c r="F8" s="10"/>
      <c r="G8" s="10"/>
      <c r="H8" s="18"/>
      <c r="I8" s="18"/>
      <c r="J8" s="18"/>
      <c r="K8" s="18"/>
      <c r="L8" s="18"/>
      <c r="M8" s="18"/>
      <c r="N8" s="18"/>
      <c r="O8" s="18"/>
      <c r="P8" s="18"/>
      <c r="Q8" s="18"/>
      <c r="R8" s="18"/>
      <c r="S8" s="18"/>
      <c r="T8" s="18"/>
      <c r="U8" s="18"/>
      <c r="V8" s="18"/>
      <c r="W8" s="18"/>
      <c r="X8" s="18"/>
      <c r="Y8" s="18"/>
    </row>
    <row r="9" spans="1:25" x14ac:dyDescent="0.3">
      <c r="A9" s="85" t="s">
        <v>15</v>
      </c>
      <c r="B9" s="21">
        <f>-'Interim Inc Statement Reported'!B15</f>
        <v>568</v>
      </c>
      <c r="C9" s="21">
        <f>-'Interim Inc Statement Reported'!C15</f>
        <v>568</v>
      </c>
      <c r="D9" s="21">
        <f>-'Interim Inc Statement Reported'!D15</f>
        <v>598</v>
      </c>
      <c r="E9" s="21">
        <f>-'Interim Inc Statement Reported'!E15</f>
        <v>590</v>
      </c>
      <c r="F9" s="21">
        <f>-'Interim Inc Statement Reported'!F15</f>
        <v>608</v>
      </c>
      <c r="G9" s="21">
        <f>-'Interim Inc Statement Reported'!G15</f>
        <v>611</v>
      </c>
      <c r="H9" s="21">
        <f>-'Interim Inc Statement Reported'!H15</f>
        <v>658</v>
      </c>
      <c r="I9" s="21">
        <f>-'Interim Inc Statement Reported'!I15</f>
        <v>633</v>
      </c>
      <c r="J9" s="21">
        <f>-'Interim Inc Statement Reported'!J15</f>
        <v>644</v>
      </c>
      <c r="K9" s="21">
        <f>-'Interim Inc Statement Reported'!K15</f>
        <v>663</v>
      </c>
      <c r="L9" s="21">
        <f>-'Interim Inc Statement Reported'!L15</f>
        <v>662</v>
      </c>
      <c r="M9" s="21">
        <f>-'Interim Inc Statement Reported'!M15</f>
        <v>702</v>
      </c>
      <c r="N9" s="21">
        <f>-'Interim Inc Statement Reported'!N15</f>
        <v>700</v>
      </c>
      <c r="O9" s="21">
        <f>-'Interim Inc Statement Reported'!O15</f>
        <v>711</v>
      </c>
      <c r="P9" s="21">
        <f>-'Interim Inc Statement Reported'!P15</f>
        <v>743</v>
      </c>
      <c r="Q9" s="21">
        <f>-'Interim Inc Statement Reported'!Q15</f>
        <v>719</v>
      </c>
      <c r="R9" s="21">
        <f>-'Interim Inc Statement Reported'!R15</f>
        <v>799</v>
      </c>
      <c r="S9" s="21">
        <f>-'Interim Inc Statement Reported'!S15</f>
        <v>781</v>
      </c>
      <c r="T9" s="21">
        <f>-'Interim Inc Statement Reported'!T15</f>
        <v>788</v>
      </c>
      <c r="U9" s="21">
        <f>-'Interim Inc Statement Reported'!V15</f>
        <v>796</v>
      </c>
      <c r="V9" s="21">
        <f>-'Interim Inc Statement Reported'!W15</f>
        <v>374</v>
      </c>
      <c r="W9" s="21">
        <f>-'Interim Inc Statement Reported'!X15</f>
        <v>286</v>
      </c>
      <c r="X9" s="21">
        <f>-'Interim Inc Statement Reported'!Y15</f>
        <v>359</v>
      </c>
      <c r="Y9" s="21">
        <f>-'Interim Inc Statement Reported'!Z15</f>
        <v>367</v>
      </c>
    </row>
    <row r="10" spans="1:25" x14ac:dyDescent="0.3">
      <c r="A10" s="85" t="s">
        <v>0</v>
      </c>
      <c r="B10" s="2"/>
      <c r="C10" s="2" t="str">
        <f ca="1">IFERROR(IF(Inputs!$E$14 = "Semi-annual",(C9/OFFSET(C9,0,-2,,))-1,(C9/OFFSET(C9,0,-4,,))-1),"")</f>
        <v/>
      </c>
      <c r="D10" s="2" t="str">
        <f ca="1">IFERROR(IF(Inputs!$E$14 = "Semi-annual",(D9/OFFSET(D9,0,-2,,))-1,(D9/OFFSET(D9,0,-4,,))-1),"")</f>
        <v/>
      </c>
      <c r="E10" s="2" t="str">
        <f ca="1">IFERROR(IF(Inputs!$E$14 = "Semi-annual",(E9/OFFSET(E9,0,-2,,))-1,(E9/OFFSET(E9,0,-4,,))-1),"")</f>
        <v/>
      </c>
      <c r="F10" s="2">
        <f ca="1">IFERROR(IF(Inputs!$E$14 = "Semi-annual",(F9/OFFSET(F9,0,-2,,))-1,(F9/OFFSET(F9,0,-4,,))-1),"")</f>
        <v>7.0422535211267512E-2</v>
      </c>
      <c r="G10" s="2">
        <f ca="1">IFERROR(IF(Inputs!$E$14 = "Semi-annual",(G9/OFFSET(G9,0,-2,,))-1,(G9/OFFSET(G9,0,-4,,))-1),"")</f>
        <v>7.5704225352112742E-2</v>
      </c>
      <c r="H10" s="2">
        <f ca="1">IFERROR(IF(Inputs!$E$14 = "Semi-annual",(H9/OFFSET(H9,0,-2,,))-1,(H9/OFFSET(H9,0,-4,,))-1),"")</f>
        <v>0.10033444816053505</v>
      </c>
      <c r="I10" s="2">
        <f ca="1">IFERROR(IF(Inputs!$E$14 = "Semi-annual",(I9/OFFSET(I9,0,-2,,))-1,(I9/OFFSET(I9,0,-4,,))-1),"")</f>
        <v>7.2881355932203462E-2</v>
      </c>
      <c r="J10" s="2">
        <f ca="1">IFERROR(IF(Inputs!$E$14 = "Semi-annual",(J9/OFFSET(J9,0,-2,,))-1,(J9/OFFSET(J9,0,-4,,))-1),"")</f>
        <v>5.921052631578938E-2</v>
      </c>
      <c r="K10" s="2">
        <f ca="1">IFERROR(IF(Inputs!$E$14 = "Semi-annual",(K9/OFFSET(K9,0,-2,,))-1,(K9/OFFSET(K9,0,-4,,))-1),"")</f>
        <v>8.5106382978723305E-2</v>
      </c>
      <c r="L10" s="2">
        <f ca="1">IFERROR(IF(Inputs!$E$14 = "Semi-annual",(L9/OFFSET(L9,0,-2,,))-1,(L9/OFFSET(L9,0,-4,,))-1),"")</f>
        <v>6.0790273556230456E-3</v>
      </c>
      <c r="M10" s="2">
        <f ca="1">IFERROR(IF(Inputs!$E$14 = "Semi-annual",(M9/OFFSET(M9,0,-2,,))-1,(M9/OFFSET(M9,0,-4,,))-1),"")</f>
        <v>0.1090047393364928</v>
      </c>
      <c r="N10" s="2">
        <f ca="1">IFERROR(IF(Inputs!$E$14 = "Semi-annual",(N9/OFFSET(N9,0,-2,,))-1,(N9/OFFSET(N9,0,-4,,))-1),"")</f>
        <v>8.6956521739130377E-2</v>
      </c>
      <c r="O10" s="2">
        <f ca="1">IFERROR(IF(Inputs!$E$14 = "Semi-annual",(O9/OFFSET(O9,0,-2,,))-1,(O9/OFFSET(O9,0,-4,,))-1),"")</f>
        <v>7.2398190045248834E-2</v>
      </c>
      <c r="P10" s="2">
        <f ca="1">IFERROR(IF(Inputs!$E$14 = "Semi-annual",(P9/OFFSET(P9,0,-2,,))-1,(P9/OFFSET(P9,0,-4,,))-1),"")</f>
        <v>0.12235649546827787</v>
      </c>
      <c r="Q10" s="2">
        <f ca="1">IFERROR(IF(Inputs!$E$14 = "Semi-annual",(Q9/OFFSET(Q9,0,-2,,))-1,(Q9/OFFSET(Q9,0,-4,,))-1),"")</f>
        <v>2.4216524216524205E-2</v>
      </c>
      <c r="R10" s="2">
        <f ca="1">IFERROR(IF(Inputs!$E$14 = "Semi-annual",(R9/OFFSET(R9,0,-2,,))-1,(R9/OFFSET(R9,0,-4,,))-1),"")</f>
        <v>0.14142857142857146</v>
      </c>
      <c r="S10" s="2">
        <f ca="1">IFERROR(IF(Inputs!$E$14 = "Semi-annual",(S9/OFFSET(S9,0,-2,,))-1,(S9/OFFSET(S9,0,-4,,))-1),"")</f>
        <v>9.8452883263009827E-2</v>
      </c>
      <c r="T10" s="2">
        <f ca="1">IFERROR(IF(Inputs!$E$14 = "Semi-annual",(T9/OFFSET(T9,0,-2,,))-1,(T9/OFFSET(T9,0,-4,,))-1),"")</f>
        <v>6.0565275908479155E-2</v>
      </c>
      <c r="U10" s="2">
        <f ca="1">IFERROR(IF(Inputs!$E$14 = "Semi-annual",(U9/OFFSET(U9,0,-2,,))-1,(U9/OFFSET(U9,0,-4,,))-1),"")</f>
        <v>0.10709318497913767</v>
      </c>
      <c r="V10" s="2">
        <f ca="1">IFERROR(IF(Inputs!$E$14 = "Semi-annual",(V9/OFFSET(V9,0,-2,,))-1,(V9/OFFSET(V9,0,-4,,))-1),"")</f>
        <v>-0.53191489361702127</v>
      </c>
      <c r="W10" s="2">
        <f ca="1">IFERROR(IF(Inputs!$E$14 = "Semi-annual",(W9/OFFSET(W9,0,-2,,))-1,(W9/OFFSET(W9,0,-4,,))-1),"")</f>
        <v>-0.63380281690140849</v>
      </c>
      <c r="X10" s="2">
        <f ca="1">IFERROR(IF(Inputs!$E$14 = "Semi-annual",(X9/OFFSET(X9,0,-2,,))-1,(X9/OFFSET(X9,0,-4,,))-1),"")</f>
        <v>-0.54441624365482233</v>
      </c>
      <c r="Y10" s="2">
        <f ca="1">IFERROR(IF(Inputs!$E$14 = "Semi-annual",(Y9/OFFSET(Y9,0,-2,,))-1,(Y9/OFFSET(Y9,0,-4,,))-1),"")</f>
        <v>-0.53894472361809043</v>
      </c>
    </row>
    <row r="11" spans="1:25" x14ac:dyDescent="0.3">
      <c r="A11" s="85" t="s">
        <v>16</v>
      </c>
      <c r="B11" s="21">
        <f>-'Interim Inc Statement Reported'!B16</f>
        <v>592</v>
      </c>
      <c r="C11" s="21">
        <f>-'Interim Inc Statement Reported'!C16</f>
        <v>648</v>
      </c>
      <c r="D11" s="21">
        <f>-'Interim Inc Statement Reported'!D16</f>
        <v>697</v>
      </c>
      <c r="E11" s="21">
        <f>-'Interim Inc Statement Reported'!E16</f>
        <v>527</v>
      </c>
      <c r="F11" s="21">
        <f>-'Interim Inc Statement Reported'!F16</f>
        <v>446</v>
      </c>
      <c r="G11" s="21">
        <f>-'Interim Inc Statement Reported'!G16</f>
        <v>527</v>
      </c>
      <c r="H11" s="21">
        <f>-'Interim Inc Statement Reported'!H16</f>
        <v>708</v>
      </c>
      <c r="I11" s="21">
        <f>-'Interim Inc Statement Reported'!I16</f>
        <v>598</v>
      </c>
      <c r="J11" s="21">
        <f>-'Interim Inc Statement Reported'!J16</f>
        <v>659</v>
      </c>
      <c r="K11" s="21">
        <f>-'Interim Inc Statement Reported'!K16</f>
        <v>701</v>
      </c>
      <c r="L11" s="21">
        <f>-'Interim Inc Statement Reported'!L16</f>
        <v>941</v>
      </c>
      <c r="M11" s="21">
        <f>-'Interim Inc Statement Reported'!M16</f>
        <v>735</v>
      </c>
      <c r="N11" s="21">
        <f>-'Interim Inc Statement Reported'!N16</f>
        <v>825</v>
      </c>
      <c r="O11" s="21">
        <f>-'Interim Inc Statement Reported'!O16</f>
        <v>964</v>
      </c>
      <c r="P11" s="21">
        <f>-'Interim Inc Statement Reported'!P16</f>
        <v>1371</v>
      </c>
      <c r="Q11" s="21">
        <f>-'Interim Inc Statement Reported'!Q16</f>
        <v>809</v>
      </c>
      <c r="R11" s="21">
        <f>-'Interim Inc Statement Reported'!R16</f>
        <v>881</v>
      </c>
      <c r="S11" s="21">
        <f>-'Interim Inc Statement Reported'!S16</f>
        <v>991</v>
      </c>
      <c r="T11" s="21">
        <f>-'Interim Inc Statement Reported'!T16</f>
        <v>1093</v>
      </c>
      <c r="U11" s="21">
        <f>-'Interim Inc Statement Reported'!V16</f>
        <v>836</v>
      </c>
      <c r="V11" s="21">
        <f>-'Interim Inc Statement Reported'!W16</f>
        <v>124</v>
      </c>
      <c r="W11" s="21">
        <f>-'Interim Inc Statement Reported'!X16</f>
        <v>175</v>
      </c>
      <c r="X11" s="21">
        <f>-'Interim Inc Statement Reported'!Y16</f>
        <v>187</v>
      </c>
      <c r="Y11" s="21">
        <f>-'Interim Inc Statement Reported'!Z16</f>
        <v>200</v>
      </c>
    </row>
    <row r="12" spans="1:25" x14ac:dyDescent="0.3">
      <c r="A12" s="85" t="s">
        <v>0</v>
      </c>
      <c r="B12" s="2"/>
      <c r="C12" s="2" t="str">
        <f ca="1">IFERROR(IF(Inputs!$E$14 = "Semi-annual",(C11/OFFSET(C11,0,-2,,))-1,(C11/OFFSET(C11,0,-4,,))-1),"")</f>
        <v/>
      </c>
      <c r="D12" s="2" t="str">
        <f ca="1">IFERROR(IF(Inputs!$E$14 = "Semi-annual",(D11/OFFSET(D11,0,-2,,))-1,(D11/OFFSET(D11,0,-4,,))-1),"")</f>
        <v/>
      </c>
      <c r="E12" s="2" t="str">
        <f ca="1">IFERROR(IF(Inputs!$E$14 = "Semi-annual",(E11/OFFSET(E11,0,-2,,))-1,(E11/OFFSET(E11,0,-4,,))-1),"")</f>
        <v/>
      </c>
      <c r="F12" s="2">
        <f ca="1">IFERROR(IF(Inputs!$E$14 = "Semi-annual",(F11/OFFSET(F11,0,-2,,))-1,(F11/OFFSET(F11,0,-4,,))-1),"")</f>
        <v>-0.2466216216216216</v>
      </c>
      <c r="G12" s="2">
        <f ca="1">IFERROR(IF(Inputs!$E$14 = "Semi-annual",(G11/OFFSET(G11,0,-2,,))-1,(G11/OFFSET(G11,0,-4,,))-1),"")</f>
        <v>-0.18672839506172845</v>
      </c>
      <c r="H12" s="2">
        <f ca="1">IFERROR(IF(Inputs!$E$14 = "Semi-annual",(H11/OFFSET(H11,0,-2,,))-1,(H11/OFFSET(H11,0,-4,,))-1),"")</f>
        <v>1.5781922525107683E-2</v>
      </c>
      <c r="I12" s="2">
        <f ca="1">IFERROR(IF(Inputs!$E$14 = "Semi-annual",(I11/OFFSET(I11,0,-2,,))-1,(I11/OFFSET(I11,0,-4,,))-1),"")</f>
        <v>0.13472485768500952</v>
      </c>
      <c r="J12" s="2">
        <f ca="1">IFERROR(IF(Inputs!$E$14 = "Semi-annual",(J11/OFFSET(J11,0,-2,,))-1,(J11/OFFSET(J11,0,-4,,))-1),"")</f>
        <v>0.47757847533632281</v>
      </c>
      <c r="K12" s="2">
        <f ca="1">IFERROR(IF(Inputs!$E$14 = "Semi-annual",(K11/OFFSET(K11,0,-2,,))-1,(K11/OFFSET(K11,0,-4,,))-1),"")</f>
        <v>0.33017077798861472</v>
      </c>
      <c r="L12" s="2">
        <f ca="1">IFERROR(IF(Inputs!$E$14 = "Semi-annual",(L11/OFFSET(L11,0,-2,,))-1,(L11/OFFSET(L11,0,-4,,))-1),"")</f>
        <v>0.32909604519774005</v>
      </c>
      <c r="M12" s="2">
        <f ca="1">IFERROR(IF(Inputs!$E$14 = "Semi-annual",(M11/OFFSET(M11,0,-2,,))-1,(M11/OFFSET(M11,0,-4,,))-1),"")</f>
        <v>0.22909698996655514</v>
      </c>
      <c r="N12" s="2">
        <f ca="1">IFERROR(IF(Inputs!$E$14 = "Semi-annual",(N11/OFFSET(N11,0,-2,,))-1,(N11/OFFSET(N11,0,-4,,))-1),"")</f>
        <v>0.25189681335356595</v>
      </c>
      <c r="O12" s="2">
        <f ca="1">IFERROR(IF(Inputs!$E$14 = "Semi-annual",(O11/OFFSET(O11,0,-2,,))-1,(O11/OFFSET(O11,0,-4,,))-1),"")</f>
        <v>0.37517831669044233</v>
      </c>
      <c r="P12" s="2">
        <f ca="1">IFERROR(IF(Inputs!$E$14 = "Semi-annual",(P11/OFFSET(P11,0,-2,,))-1,(P11/OFFSET(P11,0,-4,,))-1),"")</f>
        <v>0.45696068012752389</v>
      </c>
      <c r="Q12" s="2">
        <f ca="1">IFERROR(IF(Inputs!$E$14 = "Semi-annual",(Q11/OFFSET(Q11,0,-2,,))-1,(Q11/OFFSET(Q11,0,-4,,))-1),"")</f>
        <v>0.10068027210884356</v>
      </c>
      <c r="R12" s="2">
        <f ca="1">IFERROR(IF(Inputs!$E$14 = "Semi-annual",(R11/OFFSET(R11,0,-2,,))-1,(R11/OFFSET(R11,0,-4,,))-1),"")</f>
        <v>6.7878787878787872E-2</v>
      </c>
      <c r="S12" s="2">
        <f ca="1">IFERROR(IF(Inputs!$E$14 = "Semi-annual",(S11/OFFSET(S11,0,-2,,))-1,(S11/OFFSET(S11,0,-4,,))-1),"")</f>
        <v>2.8008298755186622E-2</v>
      </c>
      <c r="T12" s="2">
        <f ca="1">IFERROR(IF(Inputs!$E$14 = "Semi-annual",(T11/OFFSET(T11,0,-2,,))-1,(T11/OFFSET(T11,0,-4,,))-1),"")</f>
        <v>-0.20277169948942375</v>
      </c>
      <c r="U12" s="2">
        <f ca="1">IFERROR(IF(Inputs!$E$14 = "Semi-annual",(U11/OFFSET(U11,0,-2,,))-1,(U11/OFFSET(U11,0,-4,,))-1),"")</f>
        <v>3.3374536464771287E-2</v>
      </c>
      <c r="V12" s="2">
        <f ca="1">IFERROR(IF(Inputs!$E$14 = "Semi-annual",(V11/OFFSET(V11,0,-2,,))-1,(V11/OFFSET(V11,0,-4,,))-1),"")</f>
        <v>-0.85925085130533485</v>
      </c>
      <c r="W12" s="2">
        <f ca="1">IFERROR(IF(Inputs!$E$14 = "Semi-annual",(W11/OFFSET(W11,0,-2,,))-1,(W11/OFFSET(W11,0,-4,,))-1),"")</f>
        <v>-0.82341069626639762</v>
      </c>
      <c r="X12" s="2">
        <f ca="1">IFERROR(IF(Inputs!$E$14 = "Semi-annual",(X11/OFFSET(X11,0,-2,,))-1,(X11/OFFSET(X11,0,-4,,))-1),"")</f>
        <v>-0.82891125343092409</v>
      </c>
      <c r="Y12" s="2">
        <f ca="1">IFERROR(IF(Inputs!$E$14 = "Semi-annual",(Y11/OFFSET(Y11,0,-2,,))-1,(Y11/OFFSET(Y11,0,-4,,))-1),"")</f>
        <v>-0.76076555023923442</v>
      </c>
    </row>
    <row r="13" spans="1:25" x14ac:dyDescent="0.3">
      <c r="A13" s="85" t="s">
        <v>17</v>
      </c>
      <c r="B13" s="12">
        <f>-'Interim Inc Statement Reported'!B17</f>
        <v>188</v>
      </c>
      <c r="C13" s="12">
        <f>-'Interim Inc Statement Reported'!C17</f>
        <v>190</v>
      </c>
      <c r="D13" s="12">
        <f>-'Interim Inc Statement Reported'!D17</f>
        <v>192</v>
      </c>
      <c r="E13" s="12">
        <f>-'Interim Inc Statement Reported'!E17</f>
        <v>203</v>
      </c>
      <c r="F13" s="12">
        <f>-'Interim Inc Statement Reported'!F17</f>
        <v>221</v>
      </c>
      <c r="G13" s="12">
        <f>-'Interim Inc Statement Reported'!G17</f>
        <v>239</v>
      </c>
      <c r="H13" s="12">
        <f>-'Interim Inc Statement Reported'!H17</f>
        <v>227</v>
      </c>
      <c r="I13" s="12">
        <f>-'Interim Inc Statement Reported'!I17</f>
        <v>193</v>
      </c>
      <c r="J13" s="12">
        <f>-'Interim Inc Statement Reported'!J17</f>
        <v>228</v>
      </c>
      <c r="K13" s="12">
        <f>-'Interim Inc Statement Reported'!K17</f>
        <v>226</v>
      </c>
      <c r="L13" s="12">
        <f>-'Interim Inc Statement Reported'!L17</f>
        <v>241</v>
      </c>
      <c r="M13" s="12">
        <f>-'Interim Inc Statement Reported'!M17</f>
        <v>243</v>
      </c>
      <c r="N13" s="12">
        <f>-'Interim Inc Statement Reported'!N17</f>
        <v>256</v>
      </c>
      <c r="O13" s="12">
        <f>-'Interim Inc Statement Reported'!O17</f>
        <v>220</v>
      </c>
      <c r="P13" s="12">
        <f>-'Interim Inc Statement Reported'!P17</f>
        <v>277</v>
      </c>
      <c r="Q13" s="12">
        <f>-'Interim Inc Statement Reported'!Q17</f>
        <v>250</v>
      </c>
      <c r="R13" s="12">
        <f>-'Interim Inc Statement Reported'!R17</f>
        <v>245</v>
      </c>
      <c r="S13" s="12">
        <f>-'Interim Inc Statement Reported'!S17</f>
        <v>255</v>
      </c>
      <c r="T13" s="12">
        <f>-'Interim Inc Statement Reported'!T17</f>
        <v>254</v>
      </c>
      <c r="U13" s="12">
        <f>-'Interim Inc Statement Reported'!V17</f>
        <v>270</v>
      </c>
      <c r="V13" s="12">
        <f>-'Interim Inc Statement Reported'!W17</f>
        <v>181</v>
      </c>
      <c r="W13" s="12">
        <f>-'Interim Inc Statement Reported'!X17</f>
        <v>45</v>
      </c>
      <c r="X13" s="12">
        <f>-'Interim Inc Statement Reported'!Y17</f>
        <v>185</v>
      </c>
      <c r="Y13" s="12">
        <f>-'Interim Inc Statement Reported'!Z17</f>
        <v>150</v>
      </c>
    </row>
    <row r="14" spans="1:25" x14ac:dyDescent="0.3">
      <c r="A14" s="85" t="s">
        <v>0</v>
      </c>
      <c r="B14" s="2"/>
      <c r="C14" s="2" t="str">
        <f ca="1">IFERROR(IF(Inputs!$E$14 = "Semi-annual",(C13/OFFSET(C13,0,-2,,))-1,(C13/OFFSET(C13,0,-4,,))-1),"")</f>
        <v/>
      </c>
      <c r="D14" s="2" t="str">
        <f ca="1">IFERROR(IF(Inputs!$E$14 = "Semi-annual",(D13/OFFSET(D13,0,-2,,))-1,(D13/OFFSET(D13,0,-4,,))-1),"")</f>
        <v/>
      </c>
      <c r="E14" s="2" t="str">
        <f ca="1">IFERROR(IF(Inputs!$E$14 = "Semi-annual",(E13/OFFSET(E13,0,-2,,))-1,(E13/OFFSET(E13,0,-4,,))-1),"")</f>
        <v/>
      </c>
      <c r="F14" s="2">
        <f ca="1">IFERROR(IF(Inputs!$E$14 = "Semi-annual",(F13/OFFSET(F13,0,-2,,))-1,(F13/OFFSET(F13,0,-4,,))-1),"")</f>
        <v>0.17553191489361697</v>
      </c>
      <c r="G14" s="2">
        <f ca="1">IFERROR(IF(Inputs!$E$14 = "Semi-annual",(G13/OFFSET(G13,0,-2,,))-1,(G13/OFFSET(G13,0,-4,,))-1),"")</f>
        <v>0.25789473684210518</v>
      </c>
      <c r="H14" s="2">
        <f ca="1">IFERROR(IF(Inputs!$E$14 = "Semi-annual",(H13/OFFSET(H13,0,-2,,))-1,(H13/OFFSET(H13,0,-4,,))-1),"")</f>
        <v>0.18229166666666674</v>
      </c>
      <c r="I14" s="2">
        <f ca="1">IFERROR(IF(Inputs!$E$14 = "Semi-annual",(I13/OFFSET(I13,0,-2,,))-1,(I13/OFFSET(I13,0,-4,,))-1),"")</f>
        <v>-4.9261083743842415E-2</v>
      </c>
      <c r="J14" s="2">
        <f ca="1">IFERROR(IF(Inputs!$E$14 = "Semi-annual",(J13/OFFSET(J13,0,-2,,))-1,(J13/OFFSET(J13,0,-4,,))-1),"")</f>
        <v>3.167420814479649E-2</v>
      </c>
      <c r="K14" s="2">
        <f ca="1">IFERROR(IF(Inputs!$E$14 = "Semi-annual",(K13/OFFSET(K13,0,-2,,))-1,(K13/OFFSET(K13,0,-4,,))-1),"")</f>
        <v>-5.4393305439330519E-2</v>
      </c>
      <c r="L14" s="2">
        <f ca="1">IFERROR(IF(Inputs!$E$14 = "Semi-annual",(L13/OFFSET(L13,0,-2,,))-1,(L13/OFFSET(L13,0,-4,,))-1),"")</f>
        <v>6.1674008810572722E-2</v>
      </c>
      <c r="M14" s="2">
        <f ca="1">IFERROR(IF(Inputs!$E$14 = "Semi-annual",(M13/OFFSET(M13,0,-2,,))-1,(M13/OFFSET(M13,0,-4,,))-1),"")</f>
        <v>0.2590673575129534</v>
      </c>
      <c r="N14" s="2">
        <f ca="1">IFERROR(IF(Inputs!$E$14 = "Semi-annual",(N13/OFFSET(N13,0,-2,,))-1,(N13/OFFSET(N13,0,-4,,))-1),"")</f>
        <v>0.12280701754385959</v>
      </c>
      <c r="O14" s="2">
        <f ca="1">IFERROR(IF(Inputs!$E$14 = "Semi-annual",(O13/OFFSET(O13,0,-2,,))-1,(O13/OFFSET(O13,0,-4,,))-1),"")</f>
        <v>-2.6548672566371723E-2</v>
      </c>
      <c r="P14" s="2">
        <f ca="1">IFERROR(IF(Inputs!$E$14 = "Semi-annual",(P13/OFFSET(P13,0,-2,,))-1,(P13/OFFSET(P13,0,-4,,))-1),"")</f>
        <v>0.14937759336099576</v>
      </c>
      <c r="Q14" s="2">
        <f ca="1">IFERROR(IF(Inputs!$E$14 = "Semi-annual",(Q13/OFFSET(Q13,0,-2,,))-1,(Q13/OFFSET(Q13,0,-4,,))-1),"")</f>
        <v>2.8806584362139898E-2</v>
      </c>
      <c r="R14" s="2">
        <f ca="1">IFERROR(IF(Inputs!$E$14 = "Semi-annual",(R13/OFFSET(R13,0,-2,,))-1,(R13/OFFSET(R13,0,-4,,))-1),"")</f>
        <v>-4.296875E-2</v>
      </c>
      <c r="S14" s="2">
        <f ca="1">IFERROR(IF(Inputs!$E$14 = "Semi-annual",(S13/OFFSET(S13,0,-2,,))-1,(S13/OFFSET(S13,0,-4,,))-1),"")</f>
        <v>0.15909090909090917</v>
      </c>
      <c r="T14" s="2">
        <f ca="1">IFERROR(IF(Inputs!$E$14 = "Semi-annual",(T13/OFFSET(T13,0,-2,,))-1,(T13/OFFSET(T13,0,-4,,))-1),"")</f>
        <v>-8.3032490974729201E-2</v>
      </c>
      <c r="U14" s="2">
        <f ca="1">IFERROR(IF(Inputs!$E$14 = "Semi-annual",(U13/OFFSET(U13,0,-2,,))-1,(U13/OFFSET(U13,0,-4,,))-1),"")</f>
        <v>8.0000000000000071E-2</v>
      </c>
      <c r="V14" s="2">
        <f ca="1">IFERROR(IF(Inputs!$E$14 = "Semi-annual",(V13/OFFSET(V13,0,-2,,))-1,(V13/OFFSET(V13,0,-4,,))-1),"")</f>
        <v>-0.26122448979591839</v>
      </c>
      <c r="W14" s="2">
        <f ca="1">IFERROR(IF(Inputs!$E$14 = "Semi-annual",(W13/OFFSET(W13,0,-2,,))-1,(W13/OFFSET(W13,0,-4,,))-1),"")</f>
        <v>-0.82352941176470584</v>
      </c>
      <c r="X14" s="2">
        <f ca="1">IFERROR(IF(Inputs!$E$14 = "Semi-annual",(X13/OFFSET(X13,0,-2,,))-1,(X13/OFFSET(X13,0,-4,,))-1),"")</f>
        <v>-0.27165354330708658</v>
      </c>
      <c r="Y14" s="2">
        <f ca="1">IFERROR(IF(Inputs!$E$14 = "Semi-annual",(Y13/OFFSET(Y13,0,-2,,))-1,(Y13/OFFSET(Y13,0,-4,,))-1),"")</f>
        <v>-0.44444444444444442</v>
      </c>
    </row>
    <row r="15" spans="1:25" x14ac:dyDescent="0.3">
      <c r="A15" s="85" t="s">
        <v>18</v>
      </c>
      <c r="B15" s="12">
        <f>-'Interim Inc Statement Reported'!B18</f>
        <v>428</v>
      </c>
      <c r="C15" s="12">
        <f>-'Interim Inc Statement Reported'!C18</f>
        <v>537</v>
      </c>
      <c r="D15" s="12">
        <f>-'Interim Inc Statement Reported'!D18</f>
        <v>572</v>
      </c>
      <c r="E15" s="12">
        <f>-'Interim Inc Statement Reported'!E18</f>
        <v>-6</v>
      </c>
      <c r="F15" s="12">
        <f>-'Interim Inc Statement Reported'!F18</f>
        <v>561</v>
      </c>
      <c r="G15" s="12">
        <f>-'Interim Inc Statement Reported'!G18</f>
        <v>382</v>
      </c>
      <c r="H15" s="12">
        <f>-'Interim Inc Statement Reported'!H18</f>
        <v>423</v>
      </c>
      <c r="I15" s="12">
        <f>-'Interim Inc Statement Reported'!I18</f>
        <v>331</v>
      </c>
      <c r="J15" s="12">
        <f>-'Interim Inc Statement Reported'!J18</f>
        <v>551</v>
      </c>
      <c r="K15" s="12">
        <f>-'Interim Inc Statement Reported'!K18</f>
        <v>430</v>
      </c>
      <c r="L15" s="12">
        <f>-'Interim Inc Statement Reported'!L18</f>
        <v>449</v>
      </c>
      <c r="M15" s="12">
        <f>-'Interim Inc Statement Reported'!M18</f>
        <v>396</v>
      </c>
      <c r="N15" s="12">
        <f>-'Interim Inc Statement Reported'!N18</f>
        <v>593</v>
      </c>
      <c r="O15" s="12">
        <f>-'Interim Inc Statement Reported'!O18</f>
        <v>459</v>
      </c>
      <c r="P15" s="12">
        <f>-'Interim Inc Statement Reported'!P18</f>
        <v>492</v>
      </c>
      <c r="Q15" s="12">
        <f>-'Interim Inc Statement Reported'!Q18</f>
        <v>455</v>
      </c>
      <c r="R15" s="12">
        <f>-'Interim Inc Statement Reported'!R18</f>
        <v>625</v>
      </c>
      <c r="S15" s="12">
        <f>-'Interim Inc Statement Reported'!S18</f>
        <v>476</v>
      </c>
      <c r="T15" s="12">
        <f>-'Interim Inc Statement Reported'!T18</f>
        <v>495</v>
      </c>
      <c r="U15" s="12">
        <f>-'Interim Inc Statement Reported'!V18</f>
        <v>559</v>
      </c>
      <c r="V15" s="12">
        <f>-'Interim Inc Statement Reported'!W18</f>
        <v>224</v>
      </c>
      <c r="W15" s="12">
        <f>-'Interim Inc Statement Reported'!X18</f>
        <v>128</v>
      </c>
      <c r="X15" s="12">
        <f>-'Interim Inc Statement Reported'!Y18</f>
        <v>55</v>
      </c>
      <c r="Y15" s="12">
        <f>-'Interim Inc Statement Reported'!Z18</f>
        <v>103</v>
      </c>
    </row>
    <row r="16" spans="1:25" x14ac:dyDescent="0.3">
      <c r="A16" s="85" t="s">
        <v>0</v>
      </c>
      <c r="B16" s="2"/>
      <c r="C16" s="2" t="str">
        <f ca="1">IFERROR(IF(Inputs!$E$14 = "Semi-annual",(C15/OFFSET(C15,0,-2,,))-1,(C15/OFFSET(C15,0,-4,,))-1),"")</f>
        <v/>
      </c>
      <c r="D16" s="2" t="str">
        <f ca="1">IFERROR(IF(Inputs!$E$14 = "Semi-annual",(D15/OFFSET(D15,0,-2,,))-1,(D15/OFFSET(D15,0,-4,,))-1),"")</f>
        <v/>
      </c>
      <c r="E16" s="2" t="str">
        <f ca="1">IFERROR(IF(Inputs!$E$14 = "Semi-annual",(E15/OFFSET(E15,0,-2,,))-1,(E15/OFFSET(E15,0,-4,,))-1),"")</f>
        <v/>
      </c>
      <c r="F16" s="2">
        <f ca="1">IFERROR(IF(Inputs!$E$14 = "Semi-annual",(F15/OFFSET(F15,0,-2,,))-1,(F15/OFFSET(F15,0,-4,,))-1),"")</f>
        <v>0.31074766355140193</v>
      </c>
      <c r="G16" s="2">
        <f ca="1">IFERROR(IF(Inputs!$E$14 = "Semi-annual",(G15/OFFSET(G15,0,-2,,))-1,(G15/OFFSET(G15,0,-4,,))-1),"")</f>
        <v>-0.28864059590316571</v>
      </c>
      <c r="H16" s="2">
        <f ca="1">IFERROR(IF(Inputs!$E$14 = "Semi-annual",(H15/OFFSET(H15,0,-2,,))-1,(H15/OFFSET(H15,0,-4,,))-1),"")</f>
        <v>-0.26048951048951052</v>
      </c>
      <c r="I16" s="2">
        <f ca="1">IFERROR(IF(Inputs!$E$14 = "Semi-annual",(I15/OFFSET(I15,0,-2,,))-1,(I15/OFFSET(I15,0,-4,,))-1),"")</f>
        <v>-56.166666666666664</v>
      </c>
      <c r="J16" s="2">
        <f ca="1">IFERROR(IF(Inputs!$E$14 = "Semi-annual",(J15/OFFSET(J15,0,-2,,))-1,(J15/OFFSET(J15,0,-4,,))-1),"")</f>
        <v>-1.7825311942958999E-2</v>
      </c>
      <c r="K16" s="2">
        <f ca="1">IFERROR(IF(Inputs!$E$14 = "Semi-annual",(K15/OFFSET(K15,0,-2,,))-1,(K15/OFFSET(K15,0,-4,,))-1),"")</f>
        <v>0.12565445026178002</v>
      </c>
      <c r="L16" s="2">
        <f ca="1">IFERROR(IF(Inputs!$E$14 = "Semi-annual",(L15/OFFSET(L15,0,-2,,))-1,(L15/OFFSET(L15,0,-4,,))-1),"")</f>
        <v>6.1465721040189214E-2</v>
      </c>
      <c r="M16" s="2">
        <f ca="1">IFERROR(IF(Inputs!$E$14 = "Semi-annual",(M15/OFFSET(M15,0,-2,,))-1,(M15/OFFSET(M15,0,-4,,))-1),"")</f>
        <v>0.1963746223564955</v>
      </c>
      <c r="N16" s="2">
        <f ca="1">IFERROR(IF(Inputs!$E$14 = "Semi-annual",(N15/OFFSET(N15,0,-2,,))-1,(N15/OFFSET(N15,0,-4,,))-1),"")</f>
        <v>7.622504537205077E-2</v>
      </c>
      <c r="O16" s="2">
        <f ca="1">IFERROR(IF(Inputs!$E$14 = "Semi-annual",(O15/OFFSET(O15,0,-2,,))-1,(O15/OFFSET(O15,0,-4,,))-1),"")</f>
        <v>6.7441860465116354E-2</v>
      </c>
      <c r="P16" s="2">
        <f ca="1">IFERROR(IF(Inputs!$E$14 = "Semi-annual",(P15/OFFSET(P15,0,-2,,))-1,(P15/OFFSET(P15,0,-4,,))-1),"")</f>
        <v>9.5768374164810766E-2</v>
      </c>
      <c r="Q16" s="2">
        <f ca="1">IFERROR(IF(Inputs!$E$14 = "Semi-annual",(Q15/OFFSET(Q15,0,-2,,))-1,(Q15/OFFSET(Q15,0,-4,,))-1),"")</f>
        <v>0.14898989898989901</v>
      </c>
      <c r="R16" s="2">
        <f ca="1">IFERROR(IF(Inputs!$E$14 = "Semi-annual",(R15/OFFSET(R15,0,-2,,))-1,(R15/OFFSET(R15,0,-4,,))-1),"")</f>
        <v>5.3962900505902134E-2</v>
      </c>
      <c r="S16" s="2">
        <f ca="1">IFERROR(IF(Inputs!$E$14 = "Semi-annual",(S15/OFFSET(S15,0,-2,,))-1,(S15/OFFSET(S15,0,-4,,))-1),"")</f>
        <v>3.7037037037036979E-2</v>
      </c>
      <c r="T16" s="2">
        <f ca="1">IFERROR(IF(Inputs!$E$14 = "Semi-annual",(T15/OFFSET(T15,0,-2,,))-1,(T15/OFFSET(T15,0,-4,,))-1),"")</f>
        <v>6.0975609756097615E-3</v>
      </c>
      <c r="U16" s="2">
        <f ca="1">IFERROR(IF(Inputs!$E$14 = "Semi-annual",(U15/OFFSET(U15,0,-2,,))-1,(U15/OFFSET(U15,0,-4,,))-1),"")</f>
        <v>0.22857142857142865</v>
      </c>
      <c r="V16" s="2">
        <f ca="1">IFERROR(IF(Inputs!$E$14 = "Semi-annual",(V15/OFFSET(V15,0,-2,,))-1,(V15/OFFSET(V15,0,-4,,))-1),"")</f>
        <v>-0.64159999999999995</v>
      </c>
      <c r="W16" s="2">
        <f ca="1">IFERROR(IF(Inputs!$E$14 = "Semi-annual",(W15/OFFSET(W15,0,-2,,))-1,(W15/OFFSET(W15,0,-4,,))-1),"")</f>
        <v>-0.73109243697478998</v>
      </c>
      <c r="X16" s="2">
        <f ca="1">IFERROR(IF(Inputs!$E$14 = "Semi-annual",(X15/OFFSET(X15,0,-2,,))-1,(X15/OFFSET(X15,0,-4,,))-1),"")</f>
        <v>-0.88888888888888884</v>
      </c>
      <c r="Y16" s="2">
        <f ca="1">IFERROR(IF(Inputs!$E$14 = "Semi-annual",(Y15/OFFSET(Y15,0,-2,,))-1,(Y15/OFFSET(Y15,0,-4,,))-1),"")</f>
        <v>-0.81574239713774599</v>
      </c>
    </row>
    <row r="17" spans="1:25" x14ac:dyDescent="0.3">
      <c r="A17" s="85" t="s">
        <v>19</v>
      </c>
      <c r="B17" s="12">
        <f>-'Interim Inc Statement Reported'!B19</f>
        <v>154</v>
      </c>
      <c r="C17" s="12">
        <f>-'Interim Inc Statement Reported'!C19</f>
        <v>152</v>
      </c>
      <c r="D17" s="12">
        <f>-'Interim Inc Statement Reported'!D19</f>
        <v>157</v>
      </c>
      <c r="E17" s="12">
        <f>-'Interim Inc Statement Reported'!E19</f>
        <v>145</v>
      </c>
      <c r="F17" s="12">
        <f>-'Interim Inc Statement Reported'!F19</f>
        <v>182</v>
      </c>
      <c r="G17" s="12">
        <f>-'Interim Inc Statement Reported'!G19</f>
        <v>170</v>
      </c>
      <c r="H17" s="12">
        <f>-'Interim Inc Statement Reported'!H19</f>
        <v>179</v>
      </c>
      <c r="I17" s="12">
        <f>-'Interim Inc Statement Reported'!I19</f>
        <v>172</v>
      </c>
      <c r="J17" s="12">
        <f>-'Interim Inc Statement Reported'!J19</f>
        <v>205</v>
      </c>
      <c r="K17" s="12">
        <f>-'Interim Inc Statement Reported'!K19</f>
        <v>199</v>
      </c>
      <c r="L17" s="12">
        <f>-'Interim Inc Statement Reported'!L19</f>
        <v>204</v>
      </c>
      <c r="M17" s="12">
        <f>-'Interim Inc Statement Reported'!M19</f>
        <v>169</v>
      </c>
      <c r="N17" s="12">
        <f>-'Interim Inc Statement Reported'!N19</f>
        <v>189</v>
      </c>
      <c r="O17" s="12">
        <f>-'Interim Inc Statement Reported'!O19</f>
        <v>199</v>
      </c>
      <c r="P17" s="12">
        <f>-'Interim Inc Statement Reported'!P19</f>
        <v>237</v>
      </c>
      <c r="Q17" s="12">
        <f>-'Interim Inc Statement Reported'!Q19</f>
        <v>182</v>
      </c>
      <c r="R17" s="12">
        <f>-'Interim Inc Statement Reported'!R19</f>
        <v>213</v>
      </c>
      <c r="S17" s="12">
        <f>-'Interim Inc Statement Reported'!S19</f>
        <v>219</v>
      </c>
      <c r="T17" s="12">
        <f>-'Interim Inc Statement Reported'!T19</f>
        <v>248</v>
      </c>
      <c r="U17" s="12">
        <f>-'Interim Inc Statement Reported'!V19</f>
        <v>183</v>
      </c>
      <c r="V17" s="12">
        <f>-'Interim Inc Statement Reported'!W19</f>
        <v>13</v>
      </c>
      <c r="W17" s="12">
        <f>-'Interim Inc Statement Reported'!X19</f>
        <v>30</v>
      </c>
      <c r="X17" s="12">
        <f>-'Interim Inc Statement Reported'!Y19</f>
        <v>26</v>
      </c>
      <c r="Y17" s="12">
        <f>-'Interim Inc Statement Reported'!Z19</f>
        <v>24</v>
      </c>
    </row>
    <row r="18" spans="1:25" x14ac:dyDescent="0.3">
      <c r="A18" s="85" t="s">
        <v>0</v>
      </c>
      <c r="B18" s="2"/>
      <c r="C18" s="2" t="str">
        <f ca="1">IFERROR(IF(Inputs!$E$14 = "Semi-annual",(C17/OFFSET(C17,0,-2,,))-1,(C17/OFFSET(C17,0,-4,,))-1),"")</f>
        <v/>
      </c>
      <c r="D18" s="2" t="str">
        <f ca="1">IFERROR(IF(Inputs!$E$14 = "Semi-annual",(D17/OFFSET(D17,0,-2,,))-1,(D17/OFFSET(D17,0,-4,,))-1),"")</f>
        <v/>
      </c>
      <c r="E18" s="2" t="str">
        <f ca="1">IFERROR(IF(Inputs!$E$14 = "Semi-annual",(E17/OFFSET(E17,0,-2,,))-1,(E17/OFFSET(E17,0,-4,,))-1),"")</f>
        <v/>
      </c>
      <c r="F18" s="2">
        <f ca="1">IFERROR(IF(Inputs!$E$14 = "Semi-annual",(F17/OFFSET(F17,0,-2,,))-1,(F17/OFFSET(F17,0,-4,,))-1),"")</f>
        <v>0.18181818181818188</v>
      </c>
      <c r="G18" s="2">
        <f ca="1">IFERROR(IF(Inputs!$E$14 = "Semi-annual",(G17/OFFSET(G17,0,-2,,))-1,(G17/OFFSET(G17,0,-4,,))-1),"")</f>
        <v>0.11842105263157898</v>
      </c>
      <c r="H18" s="2">
        <f ca="1">IFERROR(IF(Inputs!$E$14 = "Semi-annual",(H17/OFFSET(H17,0,-2,,))-1,(H17/OFFSET(H17,0,-4,,))-1),"")</f>
        <v>0.14012738853503182</v>
      </c>
      <c r="I18" s="2">
        <f ca="1">IFERROR(IF(Inputs!$E$14 = "Semi-annual",(I17/OFFSET(I17,0,-2,,))-1,(I17/OFFSET(I17,0,-4,,))-1),"")</f>
        <v>0.18620689655172407</v>
      </c>
      <c r="J18" s="2">
        <f ca="1">IFERROR(IF(Inputs!$E$14 = "Semi-annual",(J17/OFFSET(J17,0,-2,,))-1,(J17/OFFSET(J17,0,-4,,))-1),"")</f>
        <v>0.12637362637362637</v>
      </c>
      <c r="K18" s="2">
        <f ca="1">IFERROR(IF(Inputs!$E$14 = "Semi-annual",(K17/OFFSET(K17,0,-2,,))-1,(K17/OFFSET(K17,0,-4,,))-1),"")</f>
        <v>0.17058823529411771</v>
      </c>
      <c r="L18" s="2">
        <f ca="1">IFERROR(IF(Inputs!$E$14 = "Semi-annual",(L17/OFFSET(L17,0,-2,,))-1,(L17/OFFSET(L17,0,-4,,))-1),"")</f>
        <v>0.13966480446927365</v>
      </c>
      <c r="M18" s="2">
        <f ca="1">IFERROR(IF(Inputs!$E$14 = "Semi-annual",(M17/OFFSET(M17,0,-2,,))-1,(M17/OFFSET(M17,0,-4,,))-1),"")</f>
        <v>-1.744186046511631E-2</v>
      </c>
      <c r="N18" s="2">
        <f ca="1">IFERROR(IF(Inputs!$E$14 = "Semi-annual",(N17/OFFSET(N17,0,-2,,))-1,(N17/OFFSET(N17,0,-4,,))-1),"")</f>
        <v>-7.8048780487804836E-2</v>
      </c>
      <c r="O18" s="2">
        <f ca="1">IFERROR(IF(Inputs!$E$14 = "Semi-annual",(O17/OFFSET(O17,0,-2,,))-1,(O17/OFFSET(O17,0,-4,,))-1),"")</f>
        <v>0</v>
      </c>
      <c r="P18" s="2">
        <f ca="1">IFERROR(IF(Inputs!$E$14 = "Semi-annual",(P17/OFFSET(P17,0,-2,,))-1,(P17/OFFSET(P17,0,-4,,))-1),"")</f>
        <v>0.16176470588235303</v>
      </c>
      <c r="Q18" s="2">
        <f ca="1">IFERROR(IF(Inputs!$E$14 = "Semi-annual",(Q17/OFFSET(Q17,0,-2,,))-1,(Q17/OFFSET(Q17,0,-4,,))-1),"")</f>
        <v>7.6923076923076872E-2</v>
      </c>
      <c r="R18" s="2">
        <f ca="1">IFERROR(IF(Inputs!$E$14 = "Semi-annual",(R17/OFFSET(R17,0,-2,,))-1,(R17/OFFSET(R17,0,-4,,))-1),"")</f>
        <v>0.12698412698412698</v>
      </c>
      <c r="S18" s="2">
        <f ca="1">IFERROR(IF(Inputs!$E$14 = "Semi-annual",(S17/OFFSET(S17,0,-2,,))-1,(S17/OFFSET(S17,0,-4,,))-1),"")</f>
        <v>0.10050251256281406</v>
      </c>
      <c r="T18" s="2">
        <f ca="1">IFERROR(IF(Inputs!$E$14 = "Semi-annual",(T17/OFFSET(T17,0,-2,,))-1,(T17/OFFSET(T17,0,-4,,))-1),"")</f>
        <v>4.6413502109704741E-2</v>
      </c>
      <c r="U18" s="2">
        <f ca="1">IFERROR(IF(Inputs!$E$14 = "Semi-annual",(U17/OFFSET(U17,0,-2,,))-1,(U17/OFFSET(U17,0,-4,,))-1),"")</f>
        <v>5.494505494505475E-3</v>
      </c>
      <c r="V18" s="2">
        <f ca="1">IFERROR(IF(Inputs!$E$14 = "Semi-annual",(V17/OFFSET(V17,0,-2,,))-1,(V17/OFFSET(V17,0,-4,,))-1),"")</f>
        <v>-0.93896713615023475</v>
      </c>
      <c r="W18" s="2">
        <f ca="1">IFERROR(IF(Inputs!$E$14 = "Semi-annual",(W17/OFFSET(W17,0,-2,,))-1,(W17/OFFSET(W17,0,-4,,))-1),"")</f>
        <v>-0.86301369863013699</v>
      </c>
      <c r="X18" s="2">
        <f ca="1">IFERROR(IF(Inputs!$E$14 = "Semi-annual",(X17/OFFSET(X17,0,-2,,))-1,(X17/OFFSET(X17,0,-4,,))-1),"")</f>
        <v>-0.89516129032258063</v>
      </c>
      <c r="Y18" s="2">
        <f ca="1">IFERROR(IF(Inputs!$E$14 = "Semi-annual",(Y17/OFFSET(Y17,0,-2,,))-1,(Y17/OFFSET(Y17,0,-4,,))-1),"")</f>
        <v>-0.86885245901639341</v>
      </c>
    </row>
    <row r="19" spans="1:25" x14ac:dyDescent="0.3">
      <c r="A19" s="85" t="s">
        <v>20</v>
      </c>
      <c r="B19" s="12">
        <f>-'Interim Inc Statement Reported'!B20</f>
        <v>884</v>
      </c>
      <c r="C19" s="12">
        <f>-'Interim Inc Statement Reported'!C20</f>
        <v>758</v>
      </c>
      <c r="D19" s="12">
        <f>-'Interim Inc Statement Reported'!D20</f>
        <v>738</v>
      </c>
      <c r="E19" s="12">
        <f>-'Interim Inc Statement Reported'!E20</f>
        <v>1276</v>
      </c>
      <c r="F19" s="12">
        <f>-'Interim Inc Statement Reported'!F20</f>
        <v>877</v>
      </c>
      <c r="G19" s="12">
        <f>-'Interim Inc Statement Reported'!G20</f>
        <v>938</v>
      </c>
      <c r="H19" s="12">
        <f>-'Interim Inc Statement Reported'!H20</f>
        <v>1022</v>
      </c>
      <c r="I19" s="12">
        <f>-'Interim Inc Statement Reported'!I20</f>
        <v>1057</v>
      </c>
      <c r="J19" s="12">
        <f>-'Interim Inc Statement Reported'!J20</f>
        <v>1029</v>
      </c>
      <c r="K19" s="12">
        <f>-'Interim Inc Statement Reported'!K20</f>
        <v>1038</v>
      </c>
      <c r="L19" s="12">
        <f>-'Interim Inc Statement Reported'!L20</f>
        <v>985</v>
      </c>
      <c r="M19" s="12">
        <f>-'Interim Inc Statement Reported'!M20</f>
        <v>1071</v>
      </c>
      <c r="N19" s="12">
        <f>-'Interim Inc Statement Reported'!N20</f>
        <v>1130</v>
      </c>
      <c r="O19" s="12">
        <f>-'Interim Inc Statement Reported'!O20</f>
        <v>1153</v>
      </c>
      <c r="P19" s="12">
        <f>-'Interim Inc Statement Reported'!P20</f>
        <v>1050</v>
      </c>
      <c r="Q19" s="12">
        <f>-'Interim Inc Statement Reported'!Q20</f>
        <v>1309</v>
      </c>
      <c r="R19" s="12">
        <f>-'Interim Inc Statement Reported'!R20</f>
        <v>1107</v>
      </c>
      <c r="S19" s="12">
        <f>-'Interim Inc Statement Reported'!S20</f>
        <v>1119</v>
      </c>
      <c r="T19" s="12">
        <f>-'Interim Inc Statement Reported'!T20</f>
        <v>1203</v>
      </c>
      <c r="U19" s="12">
        <f>-'Interim Inc Statement Reported'!V20</f>
        <v>1007</v>
      </c>
      <c r="V19" s="12">
        <f>-'Interim Inc Statement Reported'!W20</f>
        <v>353</v>
      </c>
      <c r="W19" s="12">
        <f>-'Interim Inc Statement Reported'!X20</f>
        <v>458</v>
      </c>
      <c r="X19" s="12">
        <f>-'Interim Inc Statement Reported'!Y20</f>
        <v>595</v>
      </c>
      <c r="Y19" s="12">
        <f>-'Interim Inc Statement Reported'!Z20</f>
        <v>501</v>
      </c>
    </row>
    <row r="20" spans="1:25" x14ac:dyDescent="0.3">
      <c r="A20" s="85" t="s">
        <v>0</v>
      </c>
      <c r="B20" s="2"/>
      <c r="C20" s="2" t="str">
        <f ca="1">IFERROR(IF(Inputs!$E$14 = "Semi-annual",(C19/OFFSET(C19,0,-2,,))-1,(C19/OFFSET(C19,0,-4,,))-1),"")</f>
        <v/>
      </c>
      <c r="D20" s="2" t="str">
        <f ca="1">IFERROR(IF(Inputs!$E$14 = "Semi-annual",(D19/OFFSET(D19,0,-2,,))-1,(D19/OFFSET(D19,0,-4,,))-1),"")</f>
        <v/>
      </c>
      <c r="E20" s="2" t="str">
        <f ca="1">IFERROR(IF(Inputs!$E$14 = "Semi-annual",(E19/OFFSET(E19,0,-2,,))-1,(E19/OFFSET(E19,0,-4,,))-1),"")</f>
        <v/>
      </c>
      <c r="F20" s="2">
        <f ca="1">IFERROR(IF(Inputs!$E$14 = "Semi-annual",(F19/OFFSET(F19,0,-2,,))-1,(F19/OFFSET(F19,0,-4,,))-1),"")</f>
        <v>-7.9185520361990669E-3</v>
      </c>
      <c r="G20" s="2">
        <f ca="1">IFERROR(IF(Inputs!$E$14 = "Semi-annual",(G19/OFFSET(G19,0,-2,,))-1,(G19/OFFSET(G19,0,-4,,))-1),"")</f>
        <v>0.23746701846965701</v>
      </c>
      <c r="H20" s="2">
        <f ca="1">IFERROR(IF(Inputs!$E$14 = "Semi-annual",(H19/OFFSET(H19,0,-2,,))-1,(H19/OFFSET(H19,0,-4,,))-1),"")</f>
        <v>0.38482384823848248</v>
      </c>
      <c r="I20" s="2">
        <f ca="1">IFERROR(IF(Inputs!$E$14 = "Semi-annual",(I19/OFFSET(I19,0,-2,,))-1,(I19/OFFSET(I19,0,-4,,))-1),"")</f>
        <v>-0.17163009404388718</v>
      </c>
      <c r="J20" s="2">
        <f ca="1">IFERROR(IF(Inputs!$E$14 = "Semi-annual",(J19/OFFSET(J19,0,-2,,))-1,(J19/OFFSET(J19,0,-4,,))-1),"")</f>
        <v>0.17331812998859752</v>
      </c>
      <c r="K20" s="2">
        <f ca="1">IFERROR(IF(Inputs!$E$14 = "Semi-annual",(K19/OFFSET(K19,0,-2,,))-1,(K19/OFFSET(K19,0,-4,,))-1),"")</f>
        <v>0.10660980810234544</v>
      </c>
      <c r="L20" s="2">
        <f ca="1">IFERROR(IF(Inputs!$E$14 = "Semi-annual",(L19/OFFSET(L19,0,-2,,))-1,(L19/OFFSET(L19,0,-4,,))-1),"")</f>
        <v>-3.6203522504892338E-2</v>
      </c>
      <c r="M20" s="2">
        <f ca="1">IFERROR(IF(Inputs!$E$14 = "Semi-annual",(M19/OFFSET(M19,0,-2,,))-1,(M19/OFFSET(M19,0,-4,,))-1),"")</f>
        <v>1.3245033112582849E-2</v>
      </c>
      <c r="N20" s="2">
        <f ca="1">IFERROR(IF(Inputs!$E$14 = "Semi-annual",(N19/OFFSET(N19,0,-2,,))-1,(N19/OFFSET(N19,0,-4,,))-1),"")</f>
        <v>9.8153547133138952E-2</v>
      </c>
      <c r="O20" s="2">
        <f ca="1">IFERROR(IF(Inputs!$E$14 = "Semi-annual",(O19/OFFSET(O19,0,-2,,))-1,(O19/OFFSET(O19,0,-4,,))-1),"")</f>
        <v>0.11078998073217727</v>
      </c>
      <c r="P20" s="2">
        <f ca="1">IFERROR(IF(Inputs!$E$14 = "Semi-annual",(P19/OFFSET(P19,0,-2,,))-1,(P19/OFFSET(P19,0,-4,,))-1),"")</f>
        <v>6.5989847715736127E-2</v>
      </c>
      <c r="Q20" s="2">
        <f ca="1">IFERROR(IF(Inputs!$E$14 = "Semi-annual",(Q19/OFFSET(Q19,0,-2,,))-1,(Q19/OFFSET(Q19,0,-4,,))-1),"")</f>
        <v>0.22222222222222232</v>
      </c>
      <c r="R20" s="2">
        <f ca="1">IFERROR(IF(Inputs!$E$14 = "Semi-annual",(R19/OFFSET(R19,0,-2,,))-1,(R19/OFFSET(R19,0,-4,,))-1),"")</f>
        <v>-2.0353982300884921E-2</v>
      </c>
      <c r="S20" s="2">
        <f ca="1">IFERROR(IF(Inputs!$E$14 = "Semi-annual",(S19/OFFSET(S19,0,-2,,))-1,(S19/OFFSET(S19,0,-4,,))-1),"")</f>
        <v>-2.9488291413703349E-2</v>
      </c>
      <c r="T20" s="2">
        <f ca="1">IFERROR(IF(Inputs!$E$14 = "Semi-annual",(T19/OFFSET(T19,0,-2,,))-1,(T19/OFFSET(T19,0,-4,,))-1),"")</f>
        <v>0.14571428571428569</v>
      </c>
      <c r="U20" s="2">
        <f ca="1">IFERROR(IF(Inputs!$E$14 = "Semi-annual",(U19/OFFSET(U19,0,-2,,))-1,(U19/OFFSET(U19,0,-4,,))-1),"")</f>
        <v>-0.23071046600458367</v>
      </c>
      <c r="V20" s="2">
        <f ca="1">IFERROR(IF(Inputs!$E$14 = "Semi-annual",(V19/OFFSET(V19,0,-2,,))-1,(V19/OFFSET(V19,0,-4,,))-1),"")</f>
        <v>-0.68112014453477876</v>
      </c>
      <c r="W20" s="2">
        <f ca="1">IFERROR(IF(Inputs!$E$14 = "Semi-annual",(W19/OFFSET(W19,0,-2,,))-1,(W19/OFFSET(W19,0,-4,,))-1),"")</f>
        <v>-0.5907059874888293</v>
      </c>
      <c r="X20" s="2">
        <f ca="1">IFERROR(IF(Inputs!$E$14 = "Semi-annual",(X19/OFFSET(X19,0,-2,,))-1,(X19/OFFSET(X19,0,-4,,))-1),"")</f>
        <v>-0.50540315876974229</v>
      </c>
      <c r="Y20" s="2">
        <f ca="1">IFERROR(IF(Inputs!$E$14 = "Semi-annual",(Y19/OFFSET(Y19,0,-2,,))-1,(Y19/OFFSET(Y19,0,-4,,))-1),"")</f>
        <v>-0.5024826216484608</v>
      </c>
    </row>
    <row r="21" spans="1:25" x14ac:dyDescent="0.3">
      <c r="A21" s="85" t="s">
        <v>21</v>
      </c>
      <c r="B21" s="12">
        <f>-'Interim Inc Statement Reported'!B21</f>
        <v>0</v>
      </c>
      <c r="C21" s="12">
        <f>-'Interim Inc Statement Reported'!C21</f>
        <v>0</v>
      </c>
      <c r="D21" s="12">
        <f>-'Interim Inc Statement Reported'!D21</f>
        <v>0</v>
      </c>
      <c r="E21" s="12">
        <f>-'Interim Inc Statement Reported'!E21</f>
        <v>0</v>
      </c>
      <c r="F21" s="12">
        <f>-'Interim Inc Statement Reported'!F21</f>
        <v>0</v>
      </c>
      <c r="G21" s="12">
        <f>-'Interim Inc Statement Reported'!G21</f>
        <v>0</v>
      </c>
      <c r="H21" s="12">
        <f>-'Interim Inc Statement Reported'!H21</f>
        <v>0</v>
      </c>
      <c r="I21" s="12">
        <f>-'Interim Inc Statement Reported'!I21</f>
        <v>0</v>
      </c>
      <c r="J21" s="12">
        <f>-'Interim Inc Statement Reported'!J21</f>
        <v>0</v>
      </c>
      <c r="K21" s="12">
        <f>-'Interim Inc Statement Reported'!K21</f>
        <v>0</v>
      </c>
      <c r="L21" s="12">
        <f>-'Interim Inc Statement Reported'!L21</f>
        <v>0</v>
      </c>
      <c r="M21" s="12">
        <f>-'Interim Inc Statement Reported'!M21</f>
        <v>0</v>
      </c>
      <c r="N21" s="12">
        <f>-'Interim Inc Statement Reported'!N21</f>
        <v>0</v>
      </c>
      <c r="O21" s="12">
        <f>-'Interim Inc Statement Reported'!O21</f>
        <v>0</v>
      </c>
      <c r="P21" s="12">
        <f>-'Interim Inc Statement Reported'!P21</f>
        <v>0</v>
      </c>
      <c r="Q21" s="12">
        <f>-'Interim Inc Statement Reported'!Q21</f>
        <v>0</v>
      </c>
      <c r="R21" s="12">
        <f>-'Interim Inc Statement Reported'!R21</f>
        <v>0</v>
      </c>
      <c r="S21" s="12">
        <f>-'Interim Inc Statement Reported'!S21</f>
        <v>0</v>
      </c>
      <c r="T21" s="12">
        <f>-'Interim Inc Statement Reported'!T21</f>
        <v>0</v>
      </c>
      <c r="U21" s="12">
        <f>-'Interim Inc Statement Reported'!V21</f>
        <v>0</v>
      </c>
      <c r="V21" s="12">
        <f>-'Interim Inc Statement Reported'!W21</f>
        <v>0</v>
      </c>
      <c r="W21" s="12">
        <f>-'Interim Inc Statement Reported'!X21</f>
        <v>0</v>
      </c>
      <c r="X21" s="12">
        <f>-'Interim Inc Statement Reported'!Y21</f>
        <v>0</v>
      </c>
      <c r="Y21" s="12">
        <f>-'Interim Inc Statement Reported'!Z21</f>
        <v>0</v>
      </c>
    </row>
    <row r="22" spans="1:25" x14ac:dyDescent="0.3">
      <c r="A22" s="85" t="s">
        <v>0</v>
      </c>
      <c r="B22" s="2"/>
      <c r="C22" s="2" t="str">
        <f ca="1">IFERROR(IF(Inputs!$E$14 = "Semi-annual",(C21/OFFSET(C21,0,-2,,))-1,(C21/OFFSET(C21,0,-4,,))-1),"")</f>
        <v/>
      </c>
      <c r="D22" s="2" t="str">
        <f ca="1">IFERROR(IF(Inputs!$E$14 = "Semi-annual",(D21/OFFSET(D21,0,-2,,))-1,(D21/OFFSET(D21,0,-4,,))-1),"")</f>
        <v/>
      </c>
      <c r="E22" s="2" t="str">
        <f ca="1">IFERROR(IF(Inputs!$E$14 = "Semi-annual",(E21/OFFSET(E21,0,-2,,))-1,(E21/OFFSET(E21,0,-4,,))-1),"")</f>
        <v/>
      </c>
      <c r="F22" s="2" t="str">
        <f ca="1">IFERROR(IF(Inputs!$E$14 = "Semi-annual",(F21/OFFSET(F21,0,-2,,))-1,(F21/OFFSET(F21,0,-4,,))-1),"")</f>
        <v/>
      </c>
      <c r="G22" s="2" t="str">
        <f ca="1">IFERROR(IF(Inputs!$E$14 = "Semi-annual",(G21/OFFSET(G21,0,-2,,))-1,(G21/OFFSET(G21,0,-4,,))-1),"")</f>
        <v/>
      </c>
      <c r="H22" s="2" t="str">
        <f ca="1">IFERROR(IF(Inputs!$E$14 = "Semi-annual",(H21/OFFSET(H21,0,-2,,))-1,(H21/OFFSET(H21,0,-4,,))-1),"")</f>
        <v/>
      </c>
      <c r="I22" s="2" t="str">
        <f ca="1">IFERROR(IF(Inputs!$E$14 = "Semi-annual",(I21/OFFSET(I21,0,-2,,))-1,(I21/OFFSET(I21,0,-4,,))-1),"")</f>
        <v/>
      </c>
      <c r="J22" s="2" t="str">
        <f ca="1">IFERROR(IF(Inputs!$E$14 = "Semi-annual",(J21/OFFSET(J21,0,-2,,))-1,(J21/OFFSET(J21,0,-4,,))-1),"")</f>
        <v/>
      </c>
      <c r="K22" s="2" t="str">
        <f ca="1">IFERROR(IF(Inputs!$E$14 = "Semi-annual",(K21/OFFSET(K21,0,-2,,))-1,(K21/OFFSET(K21,0,-4,,))-1),"")</f>
        <v/>
      </c>
      <c r="L22" s="2" t="str">
        <f ca="1">IFERROR(IF(Inputs!$E$14 = "Semi-annual",(L21/OFFSET(L21,0,-2,,))-1,(L21/OFFSET(L21,0,-4,,))-1),"")</f>
        <v/>
      </c>
      <c r="M22" s="2" t="str">
        <f ca="1">IFERROR(IF(Inputs!$E$14 = "Semi-annual",(M21/OFFSET(M21,0,-2,,))-1,(M21/OFFSET(M21,0,-4,,))-1),"")</f>
        <v/>
      </c>
      <c r="N22" s="2" t="str">
        <f ca="1">IFERROR(IF(Inputs!$E$14 = "Semi-annual",(N21/OFFSET(N21,0,-2,,))-1,(N21/OFFSET(N21,0,-4,,))-1),"")</f>
        <v/>
      </c>
      <c r="O22" s="2" t="str">
        <f ca="1">IFERROR(IF(Inputs!$E$14 = "Semi-annual",(O21/OFFSET(O21,0,-2,,))-1,(O21/OFFSET(O21,0,-4,,))-1),"")</f>
        <v/>
      </c>
      <c r="P22" s="2" t="str">
        <f ca="1">IFERROR(IF(Inputs!$E$14 = "Semi-annual",(P21/OFFSET(P21,0,-2,,))-1,(P21/OFFSET(P21,0,-4,,))-1),"")</f>
        <v/>
      </c>
      <c r="Q22" s="2" t="str">
        <f ca="1">IFERROR(IF(Inputs!$E$14 = "Semi-annual",(Q21/OFFSET(Q21,0,-2,,))-1,(Q21/OFFSET(Q21,0,-4,,))-1),"")</f>
        <v/>
      </c>
      <c r="R22" s="2" t="str">
        <f ca="1">IFERROR(IF(Inputs!$E$14 = "Semi-annual",(R21/OFFSET(R21,0,-2,,))-1,(R21/OFFSET(R21,0,-4,,))-1),"")</f>
        <v/>
      </c>
      <c r="S22" s="2" t="str">
        <f ca="1">IFERROR(IF(Inputs!$E$14 = "Semi-annual",(S21/OFFSET(S21,0,-2,,))-1,(S21/OFFSET(S21,0,-4,,))-1),"")</f>
        <v/>
      </c>
      <c r="T22" s="2" t="str">
        <f ca="1">IFERROR(IF(Inputs!$E$14 = "Semi-annual",(T21/OFFSET(T21,0,-2,,))-1,(T21/OFFSET(T21,0,-4,,))-1),"")</f>
        <v/>
      </c>
      <c r="U22" s="2" t="str">
        <f ca="1">IFERROR(IF(Inputs!$E$14 = "Semi-annual",(U21/OFFSET(U21,0,-2,,))-1,(U21/OFFSET(U21,0,-4,,))-1),"")</f>
        <v/>
      </c>
      <c r="V22" s="2" t="str">
        <f ca="1">IFERROR(IF(Inputs!$E$14 = "Semi-annual",(V21/OFFSET(V21,0,-2,,))-1,(V21/OFFSET(V21,0,-4,,))-1),"")</f>
        <v/>
      </c>
      <c r="W22" s="2" t="str">
        <f ca="1">IFERROR(IF(Inputs!$E$14 = "Semi-annual",(W21/OFFSET(W21,0,-2,,))-1,(W21/OFFSET(W21,0,-4,,))-1),"")</f>
        <v/>
      </c>
      <c r="X22" s="2" t="str">
        <f ca="1">IFERROR(IF(Inputs!$E$14 = "Semi-annual",(X21/OFFSET(X21,0,-2,,))-1,(X21/OFFSET(X21,0,-4,,))-1),"")</f>
        <v/>
      </c>
      <c r="Y22" s="2" t="str">
        <f ca="1">IFERROR(IF(Inputs!$E$14 = "Semi-annual",(Y21/OFFSET(Y21,0,-2,,))-1,(Y21/OFFSET(Y21,0,-4,,))-1),"")</f>
        <v/>
      </c>
    </row>
    <row r="23" spans="1:25" x14ac:dyDescent="0.3">
      <c r="A23" s="85" t="s">
        <v>22</v>
      </c>
      <c r="B23" s="12">
        <f>-'Interim Inc Statement Reported'!B22</f>
        <v>552</v>
      </c>
      <c r="C23" s="12">
        <f>-'Interim Inc Statement Reported'!C22</f>
        <v>594</v>
      </c>
      <c r="D23" s="12">
        <f>-'Interim Inc Statement Reported'!D22</f>
        <v>584</v>
      </c>
      <c r="E23" s="12">
        <f>-'Interim Inc Statement Reported'!E22</f>
        <v>549</v>
      </c>
      <c r="F23" s="12">
        <f>-'Interim Inc Statement Reported'!F22</f>
        <v>569</v>
      </c>
      <c r="G23" s="12">
        <f>-'Interim Inc Statement Reported'!G22</f>
        <v>578</v>
      </c>
      <c r="H23" s="12">
        <f>-'Interim Inc Statement Reported'!H22</f>
        <v>639</v>
      </c>
      <c r="I23" s="12">
        <f>-'Interim Inc Statement Reported'!I22</f>
        <v>622</v>
      </c>
      <c r="J23" s="12">
        <f>-'Interim Inc Statement Reported'!J22</f>
        <v>632</v>
      </c>
      <c r="K23" s="12">
        <f>-'Interim Inc Statement Reported'!K22</f>
        <v>648</v>
      </c>
      <c r="L23" s="12">
        <f>-'Interim Inc Statement Reported'!L22</f>
        <v>553</v>
      </c>
      <c r="M23" s="12">
        <f>-'Interim Inc Statement Reported'!M22</f>
        <v>647</v>
      </c>
      <c r="N23" s="12">
        <f>-'Interim Inc Statement Reported'!N22</f>
        <v>675</v>
      </c>
      <c r="O23" s="12">
        <f>-'Interim Inc Statement Reported'!O22</f>
        <v>742</v>
      </c>
      <c r="P23" s="12">
        <f>-'Interim Inc Statement Reported'!P22</f>
        <v>568</v>
      </c>
      <c r="Q23" s="12">
        <f>-'Interim Inc Statement Reported'!Q22</f>
        <v>857</v>
      </c>
      <c r="R23" s="12">
        <f>-'Interim Inc Statement Reported'!R22</f>
        <v>594</v>
      </c>
      <c r="S23" s="12">
        <f>-'Interim Inc Statement Reported'!S22</f>
        <v>604</v>
      </c>
      <c r="T23" s="12">
        <f>-'Interim Inc Statement Reported'!T22</f>
        <v>632</v>
      </c>
      <c r="U23" s="12">
        <f>-'Interim Inc Statement Reported'!V22</f>
        <v>471</v>
      </c>
      <c r="V23" s="12">
        <f>-'Interim Inc Statement Reported'!W22</f>
        <v>172</v>
      </c>
      <c r="W23" s="12">
        <f>-'Interim Inc Statement Reported'!X22</f>
        <v>198</v>
      </c>
      <c r="X23" s="12">
        <f>-'Interim Inc Statement Reported'!Y22</f>
        <v>245</v>
      </c>
      <c r="Y23" s="12">
        <f>-'Interim Inc Statement Reported'!Z22</f>
        <v>195</v>
      </c>
    </row>
    <row r="24" spans="1:25" x14ac:dyDescent="0.3">
      <c r="A24" s="85" t="s">
        <v>0</v>
      </c>
      <c r="B24" s="2"/>
      <c r="C24" s="2" t="str">
        <f ca="1">IFERROR(IF(Inputs!$E$14 = "Semi-annual",(C23/OFFSET(C23,0,-2,,))-1,(C23/OFFSET(C23,0,-4,,))-1),"")</f>
        <v/>
      </c>
      <c r="D24" s="2" t="str">
        <f ca="1">IFERROR(IF(Inputs!$E$14 = "Semi-annual",(D23/OFFSET(D23,0,-2,,))-1,(D23/OFFSET(D23,0,-4,,))-1),"")</f>
        <v/>
      </c>
      <c r="E24" s="2" t="str">
        <f ca="1">IFERROR(IF(Inputs!$E$14 = "Semi-annual",(E23/OFFSET(E23,0,-2,,))-1,(E23/OFFSET(E23,0,-4,,))-1),"")</f>
        <v/>
      </c>
      <c r="F24" s="2">
        <f ca="1">IFERROR(IF(Inputs!$E$14 = "Semi-annual",(F23/OFFSET(F23,0,-2,,))-1,(F23/OFFSET(F23,0,-4,,))-1),"")</f>
        <v>3.0797101449275388E-2</v>
      </c>
      <c r="G24" s="2">
        <f ca="1">IFERROR(IF(Inputs!$E$14 = "Semi-annual",(G23/OFFSET(G23,0,-2,,))-1,(G23/OFFSET(G23,0,-4,,))-1),"")</f>
        <v>-2.6936026936026924E-2</v>
      </c>
      <c r="H24" s="2">
        <f ca="1">IFERROR(IF(Inputs!$E$14 = "Semi-annual",(H23/OFFSET(H23,0,-2,,))-1,(H23/OFFSET(H23,0,-4,,))-1),"")</f>
        <v>9.417808219178081E-2</v>
      </c>
      <c r="I24" s="2">
        <f ca="1">IFERROR(IF(Inputs!$E$14 = "Semi-annual",(I23/OFFSET(I23,0,-2,,))-1,(I23/OFFSET(I23,0,-4,,))-1),"")</f>
        <v>0.13296903460837894</v>
      </c>
      <c r="J24" s="2">
        <f ca="1">IFERROR(IF(Inputs!$E$14 = "Semi-annual",(J23/OFFSET(J23,0,-2,,))-1,(J23/OFFSET(J23,0,-4,,))-1),"")</f>
        <v>0.11072056239015815</v>
      </c>
      <c r="K24" s="2">
        <f ca="1">IFERROR(IF(Inputs!$E$14 = "Semi-annual",(K23/OFFSET(K23,0,-2,,))-1,(K23/OFFSET(K23,0,-4,,))-1),"")</f>
        <v>0.12110726643598624</v>
      </c>
      <c r="L24" s="2">
        <f ca="1">IFERROR(IF(Inputs!$E$14 = "Semi-annual",(L23/OFFSET(L23,0,-2,,))-1,(L23/OFFSET(L23,0,-4,,))-1),"")</f>
        <v>-0.13458528951486703</v>
      </c>
      <c r="M24" s="2">
        <f ca="1">IFERROR(IF(Inputs!$E$14 = "Semi-annual",(M23/OFFSET(M23,0,-2,,))-1,(M23/OFFSET(M23,0,-4,,))-1),"")</f>
        <v>4.0192926045016009E-2</v>
      </c>
      <c r="N24" s="2">
        <f ca="1">IFERROR(IF(Inputs!$E$14 = "Semi-annual",(N23/OFFSET(N23,0,-2,,))-1,(N23/OFFSET(N23,0,-4,,))-1),"")</f>
        <v>6.8037974683544222E-2</v>
      </c>
      <c r="O24" s="2">
        <f ca="1">IFERROR(IF(Inputs!$E$14 = "Semi-annual",(O23/OFFSET(O23,0,-2,,))-1,(O23/OFFSET(O23,0,-4,,))-1),"")</f>
        <v>0.14506172839506171</v>
      </c>
      <c r="P24" s="2">
        <f ca="1">IFERROR(IF(Inputs!$E$14 = "Semi-annual",(P23/OFFSET(P23,0,-2,,))-1,(P23/OFFSET(P23,0,-4,,))-1),"")</f>
        <v>2.7124773960216952E-2</v>
      </c>
      <c r="Q24" s="2">
        <f ca="1">IFERROR(IF(Inputs!$E$14 = "Semi-annual",(Q23/OFFSET(Q23,0,-2,,))-1,(Q23/OFFSET(Q23,0,-4,,))-1),"")</f>
        <v>0.32457496136012365</v>
      </c>
      <c r="R24" s="2">
        <f ca="1">IFERROR(IF(Inputs!$E$14 = "Semi-annual",(R23/OFFSET(R23,0,-2,,))-1,(R23/OFFSET(R23,0,-4,,))-1),"")</f>
        <v>-0.12</v>
      </c>
      <c r="S24" s="2">
        <f ca="1">IFERROR(IF(Inputs!$E$14 = "Semi-annual",(S23/OFFSET(S23,0,-2,,))-1,(S23/OFFSET(S23,0,-4,,))-1),"")</f>
        <v>-0.18598382749326148</v>
      </c>
      <c r="T24" s="2">
        <f ca="1">IFERROR(IF(Inputs!$E$14 = "Semi-annual",(T23/OFFSET(T23,0,-2,,))-1,(T23/OFFSET(T23,0,-4,,))-1),"")</f>
        <v>0.11267605633802824</v>
      </c>
      <c r="U24" s="2">
        <f ca="1">IFERROR(IF(Inputs!$E$14 = "Semi-annual",(U23/OFFSET(U23,0,-2,,))-1,(U23/OFFSET(U23,0,-4,,))-1),"")</f>
        <v>-0.45040840140023342</v>
      </c>
      <c r="V24" s="2">
        <f ca="1">IFERROR(IF(Inputs!$E$14 = "Semi-annual",(V23/OFFSET(V23,0,-2,,))-1,(V23/OFFSET(V23,0,-4,,))-1),"")</f>
        <v>-0.71043771043771042</v>
      </c>
      <c r="W24" s="2">
        <f ca="1">IFERROR(IF(Inputs!$E$14 = "Semi-annual",(W23/OFFSET(W23,0,-2,,))-1,(W23/OFFSET(W23,0,-4,,))-1),"")</f>
        <v>-0.67218543046357615</v>
      </c>
      <c r="X24" s="2">
        <f ca="1">IFERROR(IF(Inputs!$E$14 = "Semi-annual",(X23/OFFSET(X23,0,-2,,))-1,(X23/OFFSET(X23,0,-4,,))-1),"")</f>
        <v>-0.61234177215189867</v>
      </c>
      <c r="Y24" s="2">
        <f ca="1">IFERROR(IF(Inputs!$E$14 = "Semi-annual",(Y23/OFFSET(Y23,0,-2,,))-1,(Y23/OFFSET(Y23,0,-4,,))-1),"")</f>
        <v>-0.5859872611464968</v>
      </c>
    </row>
    <row r="25" spans="1:25" x14ac:dyDescent="0.3">
      <c r="A25" s="85" t="s">
        <v>23</v>
      </c>
      <c r="B25" s="12">
        <f>-'Interim Inc Statement Reported'!B23</f>
        <v>332</v>
      </c>
      <c r="C25" s="12">
        <f>-'Interim Inc Statement Reported'!C23</f>
        <v>164</v>
      </c>
      <c r="D25" s="12">
        <f>-'Interim Inc Statement Reported'!D23</f>
        <v>154</v>
      </c>
      <c r="E25" s="12">
        <f>-'Interim Inc Statement Reported'!E23</f>
        <v>727</v>
      </c>
      <c r="F25" s="12">
        <f>-'Interim Inc Statement Reported'!F23</f>
        <v>308</v>
      </c>
      <c r="G25" s="12">
        <f>-'Interim Inc Statement Reported'!G23</f>
        <v>360</v>
      </c>
      <c r="H25" s="12">
        <f>-'Interim Inc Statement Reported'!H23</f>
        <v>383</v>
      </c>
      <c r="I25" s="12">
        <f>-'Interim Inc Statement Reported'!I23</f>
        <v>435</v>
      </c>
      <c r="J25" s="12">
        <f>-'Interim Inc Statement Reported'!J23</f>
        <v>397</v>
      </c>
      <c r="K25" s="12">
        <f>-'Interim Inc Statement Reported'!K23</f>
        <v>390</v>
      </c>
      <c r="L25" s="12">
        <f>-'Interim Inc Statement Reported'!L23</f>
        <v>432</v>
      </c>
      <c r="M25" s="12">
        <f>-'Interim Inc Statement Reported'!M23</f>
        <v>424</v>
      </c>
      <c r="N25" s="12">
        <f>-'Interim Inc Statement Reported'!N23</f>
        <v>455</v>
      </c>
      <c r="O25" s="12">
        <f>-'Interim Inc Statement Reported'!O23</f>
        <v>411</v>
      </c>
      <c r="P25" s="12">
        <f>-'Interim Inc Statement Reported'!P23</f>
        <v>482</v>
      </c>
      <c r="Q25" s="12">
        <f>-'Interim Inc Statement Reported'!Q23</f>
        <v>452</v>
      </c>
      <c r="R25" s="12">
        <f>-'Interim Inc Statement Reported'!R23</f>
        <v>513</v>
      </c>
      <c r="S25" s="12">
        <f>-'Interim Inc Statement Reported'!S23</f>
        <v>515</v>
      </c>
      <c r="T25" s="12">
        <f>-'Interim Inc Statement Reported'!T23</f>
        <v>571</v>
      </c>
      <c r="U25" s="12">
        <f>-'Interim Inc Statement Reported'!V23</f>
        <v>536</v>
      </c>
      <c r="V25" s="12">
        <f>-'Interim Inc Statement Reported'!W23</f>
        <v>181</v>
      </c>
      <c r="W25" s="12">
        <f>-'Interim Inc Statement Reported'!X23</f>
        <v>260</v>
      </c>
      <c r="X25" s="12">
        <f>-'Interim Inc Statement Reported'!Y23</f>
        <v>350</v>
      </c>
      <c r="Y25" s="12">
        <f>-'Interim Inc Statement Reported'!Z23</f>
        <v>306</v>
      </c>
    </row>
    <row r="26" spans="1:25" x14ac:dyDescent="0.3">
      <c r="A26" s="85" t="s">
        <v>0</v>
      </c>
      <c r="B26" s="2"/>
      <c r="C26" s="2" t="str">
        <f ca="1">IFERROR(IF(Inputs!$E$14 = "Semi-annual",(C25/OFFSET(C25,0,-2,,))-1,(C25/OFFSET(C25,0,-4,,))-1),"")</f>
        <v/>
      </c>
      <c r="D26" s="2" t="str">
        <f ca="1">IFERROR(IF(Inputs!$E$14 = "Semi-annual",(D25/OFFSET(D25,0,-2,,))-1,(D25/OFFSET(D25,0,-4,,))-1),"")</f>
        <v/>
      </c>
      <c r="E26" s="2" t="str">
        <f ca="1">IFERROR(IF(Inputs!$E$14 = "Semi-annual",(E25/OFFSET(E25,0,-2,,))-1,(E25/OFFSET(E25,0,-4,,))-1),"")</f>
        <v/>
      </c>
      <c r="F26" s="2">
        <f ca="1">IFERROR(IF(Inputs!$E$14 = "Semi-annual",(F25/OFFSET(F25,0,-2,,))-1,(F25/OFFSET(F25,0,-4,,))-1),"")</f>
        <v>-7.2289156626506035E-2</v>
      </c>
      <c r="G26" s="2">
        <f ca="1">IFERROR(IF(Inputs!$E$14 = "Semi-annual",(G25/OFFSET(G25,0,-2,,))-1,(G25/OFFSET(G25,0,-4,,))-1),"")</f>
        <v>1.1951219512195124</v>
      </c>
      <c r="H26" s="2">
        <f ca="1">IFERROR(IF(Inputs!$E$14 = "Semi-annual",(H25/OFFSET(H25,0,-2,,))-1,(H25/OFFSET(H25,0,-4,,))-1),"")</f>
        <v>1.4870129870129869</v>
      </c>
      <c r="I26" s="2">
        <f ca="1">IFERROR(IF(Inputs!$E$14 = "Semi-annual",(I25/OFFSET(I25,0,-2,,))-1,(I25/OFFSET(I25,0,-4,,))-1),"")</f>
        <v>-0.40165061898211829</v>
      </c>
      <c r="J26" s="2">
        <f ca="1">IFERROR(IF(Inputs!$E$14 = "Semi-annual",(J25/OFFSET(J25,0,-2,,))-1,(J25/OFFSET(J25,0,-4,,))-1),"")</f>
        <v>0.28896103896103886</v>
      </c>
      <c r="K26" s="2">
        <f ca="1">IFERROR(IF(Inputs!$E$14 = "Semi-annual",(K25/OFFSET(K25,0,-2,,))-1,(K25/OFFSET(K25,0,-4,,))-1),"")</f>
        <v>8.3333333333333259E-2</v>
      </c>
      <c r="L26" s="2">
        <f ca="1">IFERROR(IF(Inputs!$E$14 = "Semi-annual",(L25/OFFSET(L25,0,-2,,))-1,(L25/OFFSET(L25,0,-4,,))-1),"")</f>
        <v>0.12793733681462149</v>
      </c>
      <c r="M26" s="2">
        <f ca="1">IFERROR(IF(Inputs!$E$14 = "Semi-annual",(M25/OFFSET(M25,0,-2,,))-1,(M25/OFFSET(M25,0,-4,,))-1),"")</f>
        <v>-2.5287356321839094E-2</v>
      </c>
      <c r="N26" s="2">
        <f ca="1">IFERROR(IF(Inputs!$E$14 = "Semi-annual",(N25/OFFSET(N25,0,-2,,))-1,(N25/OFFSET(N25,0,-4,,))-1),"")</f>
        <v>0.14609571788413089</v>
      </c>
      <c r="O26" s="2">
        <f ca="1">IFERROR(IF(Inputs!$E$14 = "Semi-annual",(O25/OFFSET(O25,0,-2,,))-1,(O25/OFFSET(O25,0,-4,,))-1),"")</f>
        <v>5.3846153846153877E-2</v>
      </c>
      <c r="P26" s="2">
        <f ca="1">IFERROR(IF(Inputs!$E$14 = "Semi-annual",(P25/OFFSET(P25,0,-2,,))-1,(P25/OFFSET(P25,0,-4,,))-1),"")</f>
        <v>0.1157407407407407</v>
      </c>
      <c r="Q26" s="2">
        <f ca="1">IFERROR(IF(Inputs!$E$14 = "Semi-annual",(Q25/OFFSET(Q25,0,-2,,))-1,(Q25/OFFSET(Q25,0,-4,,))-1),"")</f>
        <v>6.60377358490567E-2</v>
      </c>
      <c r="R26" s="2">
        <f ca="1">IFERROR(IF(Inputs!$E$14 = "Semi-annual",(R25/OFFSET(R25,0,-2,,))-1,(R25/OFFSET(R25,0,-4,,))-1),"")</f>
        <v>0.12747252747252746</v>
      </c>
      <c r="S26" s="2">
        <f ca="1">IFERROR(IF(Inputs!$E$14 = "Semi-annual",(S25/OFFSET(S25,0,-2,,))-1,(S25/OFFSET(S25,0,-4,,))-1),"")</f>
        <v>0.25304136253041354</v>
      </c>
      <c r="T26" s="2">
        <f ca="1">IFERROR(IF(Inputs!$E$14 = "Semi-annual",(T25/OFFSET(T25,0,-2,,))-1,(T25/OFFSET(T25,0,-4,,))-1),"")</f>
        <v>0.18464730290456433</v>
      </c>
      <c r="U26" s="2">
        <f ca="1">IFERROR(IF(Inputs!$E$14 = "Semi-annual",(U25/OFFSET(U25,0,-2,,))-1,(U25/OFFSET(U25,0,-4,,))-1),"")</f>
        <v>0.18584070796460184</v>
      </c>
      <c r="V26" s="2">
        <f ca="1">IFERROR(IF(Inputs!$E$14 = "Semi-annual",(V25/OFFSET(V25,0,-2,,))-1,(V25/OFFSET(V25,0,-4,,))-1),"")</f>
        <v>-0.6471734892787524</v>
      </c>
      <c r="W26" s="2">
        <f ca="1">IFERROR(IF(Inputs!$E$14 = "Semi-annual",(W25/OFFSET(W25,0,-2,,))-1,(W25/OFFSET(W25,0,-4,,))-1),"")</f>
        <v>-0.49514563106796117</v>
      </c>
      <c r="X26" s="2">
        <f ca="1">IFERROR(IF(Inputs!$E$14 = "Semi-annual",(X25/OFFSET(X25,0,-2,,))-1,(X25/OFFSET(X25,0,-4,,))-1),"")</f>
        <v>-0.38704028021015757</v>
      </c>
      <c r="Y26" s="2">
        <f ca="1">IFERROR(IF(Inputs!$E$14 = "Semi-annual",(Y25/OFFSET(Y25,0,-2,,))-1,(Y25/OFFSET(Y25,0,-4,,))-1),"")</f>
        <v>-0.42910447761194026</v>
      </c>
    </row>
    <row r="27" spans="1:25" x14ac:dyDescent="0.3">
      <c r="A27" s="85" t="s">
        <v>26</v>
      </c>
      <c r="B27" s="12">
        <f>-'Interim Inc Statement Reported'!B27</f>
        <v>82</v>
      </c>
      <c r="C27" s="12">
        <f>-'Interim Inc Statement Reported'!C27</f>
        <v>84</v>
      </c>
      <c r="D27" s="12">
        <f>-'Interim Inc Statement Reported'!D27</f>
        <v>89</v>
      </c>
      <c r="E27" s="12">
        <f>-'Interim Inc Statement Reported'!E27</f>
        <v>98</v>
      </c>
      <c r="F27" s="12">
        <f>-'Interim Inc Statement Reported'!F27</f>
        <v>112</v>
      </c>
      <c r="G27" s="12">
        <f>-'Interim Inc Statement Reported'!G27</f>
        <v>112</v>
      </c>
      <c r="H27" s="12">
        <f>-'Interim Inc Statement Reported'!H27</f>
        <v>118</v>
      </c>
      <c r="I27" s="12">
        <f>-'Interim Inc Statement Reported'!I27</f>
        <v>120</v>
      </c>
      <c r="J27" s="12">
        <f>-'Interim Inc Statement Reported'!J27</f>
        <v>122</v>
      </c>
      <c r="K27" s="12">
        <f>-'Interim Inc Statement Reported'!K27</f>
        <v>130</v>
      </c>
      <c r="L27" s="12">
        <f>-'Interim Inc Statement Reported'!L27</f>
        <v>125</v>
      </c>
      <c r="M27" s="12">
        <f>-'Interim Inc Statement Reported'!M27</f>
        <v>126</v>
      </c>
      <c r="N27" s="12">
        <f>-'Interim Inc Statement Reported'!N27</f>
        <v>125</v>
      </c>
      <c r="O27" s="12">
        <f>-'Interim Inc Statement Reported'!O27</f>
        <v>123</v>
      </c>
      <c r="P27" s="12">
        <f>-'Interim Inc Statement Reported'!P27</f>
        <v>137</v>
      </c>
      <c r="Q27" s="12">
        <f>-'Interim Inc Statement Reported'!Q27</f>
        <v>133</v>
      </c>
      <c r="R27" s="12">
        <f>-'Interim Inc Statement Reported'!R27</f>
        <v>0</v>
      </c>
      <c r="S27" s="12">
        <f>-'Interim Inc Statement Reported'!S27</f>
        <v>0</v>
      </c>
      <c r="T27" s="12">
        <f>-'Interim Inc Statement Reported'!T27</f>
        <v>0</v>
      </c>
      <c r="U27" s="12">
        <f>-'Interim Inc Statement Reported'!V27</f>
        <v>0</v>
      </c>
      <c r="V27" s="12">
        <f>-'Interim Inc Statement Reported'!W27</f>
        <v>0</v>
      </c>
      <c r="W27" s="12">
        <f>-'Interim Inc Statement Reported'!X27</f>
        <v>0</v>
      </c>
      <c r="X27" s="12">
        <f>-'Interim Inc Statement Reported'!Y27</f>
        <v>0</v>
      </c>
      <c r="Y27" s="12">
        <f>-'Interim Inc Statement Reported'!Z27</f>
        <v>0</v>
      </c>
    </row>
    <row r="28" spans="1:25" x14ac:dyDescent="0.3">
      <c r="A28" s="85" t="s">
        <v>0</v>
      </c>
      <c r="B28" s="2"/>
      <c r="C28" s="2" t="str">
        <f ca="1">IFERROR(IF(Inputs!$E$14 = "Semi-annual",(C27/OFFSET(C27,0,-2,,))-1,(C27/OFFSET(C27,0,-4,,))-1),"")</f>
        <v/>
      </c>
      <c r="D28" s="2" t="str">
        <f ca="1">IFERROR(IF(Inputs!$E$14 = "Semi-annual",(D27/OFFSET(D27,0,-2,,))-1,(D27/OFFSET(D27,0,-4,,))-1),"")</f>
        <v/>
      </c>
      <c r="E28" s="2" t="str">
        <f ca="1">IFERROR(IF(Inputs!$E$14 = "Semi-annual",(E27/OFFSET(E27,0,-2,,))-1,(E27/OFFSET(E27,0,-4,,))-1),"")</f>
        <v/>
      </c>
      <c r="F28" s="2">
        <f ca="1">IFERROR(IF(Inputs!$E$14 = "Semi-annual",(F27/OFFSET(F27,0,-2,,))-1,(F27/OFFSET(F27,0,-4,,))-1),"")</f>
        <v>0.36585365853658547</v>
      </c>
      <c r="G28" s="2">
        <f ca="1">IFERROR(IF(Inputs!$E$14 = "Semi-annual",(G27/OFFSET(G27,0,-2,,))-1,(G27/OFFSET(G27,0,-4,,))-1),"")</f>
        <v>0.33333333333333326</v>
      </c>
      <c r="H28" s="2">
        <f ca="1">IFERROR(IF(Inputs!$E$14 = "Semi-annual",(H27/OFFSET(H27,0,-2,,))-1,(H27/OFFSET(H27,0,-4,,))-1),"")</f>
        <v>0.32584269662921339</v>
      </c>
      <c r="I28" s="2">
        <f ca="1">IFERROR(IF(Inputs!$E$14 = "Semi-annual",(I27/OFFSET(I27,0,-2,,))-1,(I27/OFFSET(I27,0,-4,,))-1),"")</f>
        <v>0.22448979591836737</v>
      </c>
      <c r="J28" s="2">
        <f ca="1">IFERROR(IF(Inputs!$E$14 = "Semi-annual",(J27/OFFSET(J27,0,-2,,))-1,(J27/OFFSET(J27,0,-4,,))-1),"")</f>
        <v>8.9285714285714191E-2</v>
      </c>
      <c r="K28" s="2">
        <f ca="1">IFERROR(IF(Inputs!$E$14 = "Semi-annual",(K27/OFFSET(K27,0,-2,,))-1,(K27/OFFSET(K27,0,-4,,))-1),"")</f>
        <v>0.16071428571428581</v>
      </c>
      <c r="L28" s="2">
        <f ca="1">IFERROR(IF(Inputs!$E$14 = "Semi-annual",(L27/OFFSET(L27,0,-2,,))-1,(L27/OFFSET(L27,0,-4,,))-1),"")</f>
        <v>5.9322033898305149E-2</v>
      </c>
      <c r="M28" s="2">
        <f ca="1">IFERROR(IF(Inputs!$E$14 = "Semi-annual",(M27/OFFSET(M27,0,-2,,))-1,(M27/OFFSET(M27,0,-4,,))-1),"")</f>
        <v>5.0000000000000044E-2</v>
      </c>
      <c r="N28" s="2">
        <f ca="1">IFERROR(IF(Inputs!$E$14 = "Semi-annual",(N27/OFFSET(N27,0,-2,,))-1,(N27/OFFSET(N27,0,-4,,))-1),"")</f>
        <v>2.4590163934426146E-2</v>
      </c>
      <c r="O28" s="2">
        <f ca="1">IFERROR(IF(Inputs!$E$14 = "Semi-annual",(O27/OFFSET(O27,0,-2,,))-1,(O27/OFFSET(O27,0,-4,,))-1),"")</f>
        <v>-5.3846153846153877E-2</v>
      </c>
      <c r="P28" s="2">
        <f ca="1">IFERROR(IF(Inputs!$E$14 = "Semi-annual",(P27/OFFSET(P27,0,-2,,))-1,(P27/OFFSET(P27,0,-4,,))-1),"")</f>
        <v>9.6000000000000085E-2</v>
      </c>
      <c r="Q28" s="2">
        <f ca="1">IFERROR(IF(Inputs!$E$14 = "Semi-annual",(Q27/OFFSET(Q27,0,-2,,))-1,(Q27/OFFSET(Q27,0,-4,,))-1),"")</f>
        <v>5.555555555555558E-2</v>
      </c>
      <c r="R28" s="2">
        <f ca="1">IFERROR(IF(Inputs!$E$14 = "Semi-annual",(R27/OFFSET(R27,0,-2,,))-1,(R27/OFFSET(R27,0,-4,,))-1),"")</f>
        <v>-1</v>
      </c>
      <c r="S28" s="2">
        <f ca="1">IFERROR(IF(Inputs!$E$14 = "Semi-annual",(S27/OFFSET(S27,0,-2,,))-1,(S27/OFFSET(S27,0,-4,,))-1),"")</f>
        <v>-1</v>
      </c>
      <c r="T28" s="2">
        <f ca="1">IFERROR(IF(Inputs!$E$14 = "Semi-annual",(T27/OFFSET(T27,0,-2,,))-1,(T27/OFFSET(T27,0,-4,,))-1),"")</f>
        <v>-1</v>
      </c>
      <c r="U28" s="2">
        <f ca="1">IFERROR(IF(Inputs!$E$14 = "Semi-annual",(U27/OFFSET(U27,0,-2,,))-1,(U27/OFFSET(U27,0,-4,,))-1),"")</f>
        <v>-1</v>
      </c>
      <c r="V28" s="2" t="str">
        <f ca="1">IFERROR(IF(Inputs!$E$14 = "Semi-annual",(V27/OFFSET(V27,0,-2,,))-1,(V27/OFFSET(V27,0,-4,,))-1),"")</f>
        <v/>
      </c>
      <c r="W28" s="2" t="str">
        <f ca="1">IFERROR(IF(Inputs!$E$14 = "Semi-annual",(W27/OFFSET(W27,0,-2,,))-1,(W27/OFFSET(W27,0,-4,,))-1),"")</f>
        <v/>
      </c>
      <c r="X28" s="2" t="str">
        <f ca="1">IFERROR(IF(Inputs!$E$14 = "Semi-annual",(X27/OFFSET(X27,0,-2,,))-1,(X27/OFFSET(X27,0,-4,,))-1),"")</f>
        <v/>
      </c>
      <c r="Y28" s="2" t="str">
        <f ca="1">IFERROR(IF(Inputs!$E$14 = "Semi-annual",(Y27/OFFSET(Y27,0,-2,,))-1,(Y27/OFFSET(Y27,0,-4,,))-1),"")</f>
        <v/>
      </c>
    </row>
    <row r="29" spans="1:25" x14ac:dyDescent="0.3">
      <c r="A29" s="85" t="s">
        <v>28</v>
      </c>
      <c r="B29" s="12">
        <f>-'Interim Inc Statement Reported'!B29</f>
        <v>153</v>
      </c>
      <c r="C29" s="12">
        <f>-'Interim Inc Statement Reported'!C29</f>
        <v>177</v>
      </c>
      <c r="D29" s="12">
        <f>-'Interim Inc Statement Reported'!D29</f>
        <v>165</v>
      </c>
      <c r="E29" s="12">
        <f>-'Interim Inc Statement Reported'!E29</f>
        <v>160</v>
      </c>
      <c r="F29" s="12">
        <f>-'Interim Inc Statement Reported'!F29</f>
        <v>182</v>
      </c>
      <c r="G29" s="12">
        <f>-'Interim Inc Statement Reported'!G29</f>
        <v>202</v>
      </c>
      <c r="H29" s="12">
        <f>-'Interim Inc Statement Reported'!H29</f>
        <v>220</v>
      </c>
      <c r="I29" s="12">
        <f>-'Interim Inc Statement Reported'!I29</f>
        <v>212</v>
      </c>
      <c r="J29" s="12">
        <f>-'Interim Inc Statement Reported'!J29</f>
        <v>228</v>
      </c>
      <c r="K29" s="12">
        <f>-'Interim Inc Statement Reported'!K29</f>
        <v>242</v>
      </c>
      <c r="L29" s="12">
        <f>-'Interim Inc Statement Reported'!L29</f>
        <v>241</v>
      </c>
      <c r="M29" s="12">
        <f>-'Interim Inc Statement Reported'!M29</f>
        <v>245</v>
      </c>
      <c r="N29" s="12">
        <f>-'Interim Inc Statement Reported'!N29</f>
        <v>267</v>
      </c>
      <c r="O29" s="12">
        <f>-'Interim Inc Statement Reported'!O29</f>
        <v>278</v>
      </c>
      <c r="P29" s="12">
        <f>-'Interim Inc Statement Reported'!P29</f>
        <v>268</v>
      </c>
      <c r="Q29" s="12">
        <f>-'Interim Inc Statement Reported'!Q29</f>
        <v>267</v>
      </c>
      <c r="R29" s="12">
        <f>-'Interim Inc Statement Reported'!R29</f>
        <v>456</v>
      </c>
      <c r="S29" s="12">
        <f>-'Interim Inc Statement Reported'!S29</f>
        <v>494</v>
      </c>
      <c r="T29" s="12">
        <f>-'Interim Inc Statement Reported'!T29</f>
        <v>516</v>
      </c>
      <c r="U29" s="12">
        <f>-'Interim Inc Statement Reported'!V29</f>
        <v>504</v>
      </c>
      <c r="V29" s="12">
        <f>-'Interim Inc Statement Reported'!W29</f>
        <v>487</v>
      </c>
      <c r="W29" s="12">
        <f>-'Interim Inc Statement Reported'!X29</f>
        <v>420</v>
      </c>
      <c r="X29" s="12">
        <f>-'Interim Inc Statement Reported'!Y29</f>
        <v>438</v>
      </c>
      <c r="Y29" s="12">
        <f>-'Interim Inc Statement Reported'!Z29</f>
        <v>413</v>
      </c>
    </row>
    <row r="30" spans="1:25" x14ac:dyDescent="0.3">
      <c r="A30" s="85" t="s">
        <v>0</v>
      </c>
      <c r="B30" s="2"/>
      <c r="C30" s="2" t="str">
        <f ca="1">IFERROR(IF(Inputs!$E$14 = "Semi-annual",(C29/OFFSET(C29,0,-2,,))-1,(C29/OFFSET(C29,0,-4,,))-1),"")</f>
        <v/>
      </c>
      <c r="D30" s="2" t="str">
        <f ca="1">IFERROR(IF(Inputs!$E$14 = "Semi-annual",(D29/OFFSET(D29,0,-2,,))-1,(D29/OFFSET(D29,0,-4,,))-1),"")</f>
        <v/>
      </c>
      <c r="E30" s="2" t="str">
        <f ca="1">IFERROR(IF(Inputs!$E$14 = "Semi-annual",(E29/OFFSET(E29,0,-2,,))-1,(E29/OFFSET(E29,0,-4,,))-1),"")</f>
        <v/>
      </c>
      <c r="F30" s="2">
        <f ca="1">IFERROR(IF(Inputs!$E$14 = "Semi-annual",(F29/OFFSET(F29,0,-2,,))-1,(F29/OFFSET(F29,0,-4,,))-1),"")</f>
        <v>0.18954248366013071</v>
      </c>
      <c r="G30" s="2">
        <f ca="1">IFERROR(IF(Inputs!$E$14 = "Semi-annual",(G29/OFFSET(G29,0,-2,,))-1,(G29/OFFSET(G29,0,-4,,))-1),"")</f>
        <v>0.14124293785310726</v>
      </c>
      <c r="H30" s="2">
        <f ca="1">IFERROR(IF(Inputs!$E$14 = "Semi-annual",(H29/OFFSET(H29,0,-2,,))-1,(H29/OFFSET(H29,0,-4,,))-1),"")</f>
        <v>0.33333333333333326</v>
      </c>
      <c r="I30" s="2">
        <f ca="1">IFERROR(IF(Inputs!$E$14 = "Semi-annual",(I29/OFFSET(I29,0,-2,,))-1,(I29/OFFSET(I29,0,-4,,))-1),"")</f>
        <v>0.32499999999999996</v>
      </c>
      <c r="J30" s="2">
        <f ca="1">IFERROR(IF(Inputs!$E$14 = "Semi-annual",(J29/OFFSET(J29,0,-2,,))-1,(J29/OFFSET(J29,0,-4,,))-1),"")</f>
        <v>0.25274725274725274</v>
      </c>
      <c r="K30" s="2">
        <f ca="1">IFERROR(IF(Inputs!$E$14 = "Semi-annual",(K29/OFFSET(K29,0,-2,,))-1,(K29/OFFSET(K29,0,-4,,))-1),"")</f>
        <v>0.19801980198019797</v>
      </c>
      <c r="L30" s="2">
        <f ca="1">IFERROR(IF(Inputs!$E$14 = "Semi-annual",(L29/OFFSET(L29,0,-2,,))-1,(L29/OFFSET(L29,0,-4,,))-1),"")</f>
        <v>9.5454545454545459E-2</v>
      </c>
      <c r="M30" s="2">
        <f ca="1">IFERROR(IF(Inputs!$E$14 = "Semi-annual",(M29/OFFSET(M29,0,-2,,))-1,(M29/OFFSET(M29,0,-4,,))-1),"")</f>
        <v>0.15566037735849059</v>
      </c>
      <c r="N30" s="2">
        <f ca="1">IFERROR(IF(Inputs!$E$14 = "Semi-annual",(N29/OFFSET(N29,0,-2,,))-1,(N29/OFFSET(N29,0,-4,,))-1),"")</f>
        <v>0.17105263157894735</v>
      </c>
      <c r="O30" s="2">
        <f ca="1">IFERROR(IF(Inputs!$E$14 = "Semi-annual",(O29/OFFSET(O29,0,-2,,))-1,(O29/OFFSET(O29,0,-4,,))-1),"")</f>
        <v>0.14876033057851235</v>
      </c>
      <c r="P30" s="2">
        <f ca="1">IFERROR(IF(Inputs!$E$14 = "Semi-annual",(P29/OFFSET(P29,0,-2,,))-1,(P29/OFFSET(P29,0,-4,,))-1),"")</f>
        <v>0.11203319502074693</v>
      </c>
      <c r="Q30" s="2">
        <f ca="1">IFERROR(IF(Inputs!$E$14 = "Semi-annual",(Q29/OFFSET(Q29,0,-2,,))-1,(Q29/OFFSET(Q29,0,-4,,))-1),"")</f>
        <v>8.9795918367346905E-2</v>
      </c>
      <c r="R30" s="2">
        <f ca="1">IFERROR(IF(Inputs!$E$14 = "Semi-annual",(R29/OFFSET(R29,0,-2,,))-1,(R29/OFFSET(R29,0,-4,,))-1),"")</f>
        <v>0.7078651685393258</v>
      </c>
      <c r="S30" s="2">
        <f ca="1">IFERROR(IF(Inputs!$E$14 = "Semi-annual",(S29/OFFSET(S29,0,-2,,))-1,(S29/OFFSET(S29,0,-4,,))-1),"")</f>
        <v>0.7769784172661871</v>
      </c>
      <c r="T30" s="2">
        <f ca="1">IFERROR(IF(Inputs!$E$14 = "Semi-annual",(T29/OFFSET(T29,0,-2,,))-1,(T29/OFFSET(T29,0,-4,,))-1),"")</f>
        <v>0.92537313432835822</v>
      </c>
      <c r="U30" s="2">
        <f ca="1">IFERROR(IF(Inputs!$E$14 = "Semi-annual",(U29/OFFSET(U29,0,-2,,))-1,(U29/OFFSET(U29,0,-4,,))-1),"")</f>
        <v>0.88764044943820219</v>
      </c>
      <c r="V30" s="2">
        <f ca="1">IFERROR(IF(Inputs!$E$14 = "Semi-annual",(V29/OFFSET(V29,0,-2,,))-1,(V29/OFFSET(V29,0,-4,,))-1),"")</f>
        <v>6.7982456140350811E-2</v>
      </c>
      <c r="W30" s="2">
        <f ca="1">IFERROR(IF(Inputs!$E$14 = "Semi-annual",(W29/OFFSET(W29,0,-2,,))-1,(W29/OFFSET(W29,0,-4,,))-1),"")</f>
        <v>-0.1497975708502024</v>
      </c>
      <c r="X30" s="2">
        <f ca="1">IFERROR(IF(Inputs!$E$14 = "Semi-annual",(X29/OFFSET(X29,0,-2,,))-1,(X29/OFFSET(X29,0,-4,,))-1),"")</f>
        <v>-0.15116279069767447</v>
      </c>
      <c r="Y30" s="2">
        <f ca="1">IFERROR(IF(Inputs!$E$14 = "Semi-annual",(Y29/OFFSET(Y29,0,-2,,))-1,(Y29/OFFSET(Y29,0,-4,,))-1),"")</f>
        <v>-0.18055555555555558</v>
      </c>
    </row>
    <row r="31" spans="1:25" x14ac:dyDescent="0.3">
      <c r="A31" s="14" t="s">
        <v>283</v>
      </c>
      <c r="B31" s="79">
        <f t="shared" ref="B31:K31" si="0">(B9+B11+B13+B15+B17+B19+B27+B29)</f>
        <v>3049</v>
      </c>
      <c r="C31" s="79">
        <f t="shared" si="0"/>
        <v>3114</v>
      </c>
      <c r="D31" s="79">
        <f t="shared" si="0"/>
        <v>3208</v>
      </c>
      <c r="E31" s="79">
        <f t="shared" si="0"/>
        <v>2993</v>
      </c>
      <c r="F31" s="79">
        <f t="shared" si="0"/>
        <v>3189</v>
      </c>
      <c r="G31" s="79">
        <f t="shared" si="0"/>
        <v>3181</v>
      </c>
      <c r="H31" s="79">
        <f t="shared" si="0"/>
        <v>3555</v>
      </c>
      <c r="I31" s="79">
        <f t="shared" si="0"/>
        <v>3316</v>
      </c>
      <c r="J31" s="79">
        <f t="shared" si="0"/>
        <v>3666</v>
      </c>
      <c r="K31" s="79">
        <f t="shared" si="0"/>
        <v>3629</v>
      </c>
      <c r="L31" s="79">
        <f t="shared" ref="L31:O31" si="1">(L9+L11+L13+L15+L17+L19+L27+L29)</f>
        <v>3848</v>
      </c>
      <c r="M31" s="79">
        <f t="shared" si="1"/>
        <v>3687</v>
      </c>
      <c r="N31" s="79">
        <f t="shared" si="1"/>
        <v>4085</v>
      </c>
      <c r="O31" s="79">
        <f t="shared" si="1"/>
        <v>4107</v>
      </c>
      <c r="P31" s="79">
        <f t="shared" ref="P31:U31" si="2">(P9+P11+P13+P15+P17+P19+P27+P29)</f>
        <v>4575</v>
      </c>
      <c r="Q31" s="79">
        <f t="shared" si="2"/>
        <v>4124</v>
      </c>
      <c r="R31" s="79">
        <f t="shared" si="2"/>
        <v>4326</v>
      </c>
      <c r="S31" s="79">
        <f t="shared" si="2"/>
        <v>4335</v>
      </c>
      <c r="T31" s="79">
        <f t="shared" si="2"/>
        <v>4597</v>
      </c>
      <c r="U31" s="79">
        <f t="shared" si="2"/>
        <v>4155</v>
      </c>
      <c r="V31" s="79">
        <f t="shared" ref="V31:Y31" si="3">(V9+V11+V13+V15+V17+V19+V27+V29)</f>
        <v>1756</v>
      </c>
      <c r="W31" s="79">
        <f t="shared" si="3"/>
        <v>1542</v>
      </c>
      <c r="X31" s="79">
        <f t="shared" si="3"/>
        <v>1845</v>
      </c>
      <c r="Y31" s="79">
        <f t="shared" si="3"/>
        <v>1758</v>
      </c>
    </row>
    <row r="32" spans="1:25" x14ac:dyDescent="0.3">
      <c r="A32" s="85" t="s">
        <v>0</v>
      </c>
      <c r="B32" s="2"/>
      <c r="C32" s="2" t="str">
        <f ca="1">IFERROR(IF(Inputs!$E$14 = "Semi-annual",(C31/OFFSET(C31,0,-2,,))-1,(C31/OFFSET(C31,0,-4,,))-1),"")</f>
        <v/>
      </c>
      <c r="D32" s="2" t="str">
        <f ca="1">IFERROR(IF(Inputs!$E$14 = "Semi-annual",(D31/OFFSET(D31,0,-2,,))-1,(D31/OFFSET(D31,0,-4,,))-1),"")</f>
        <v/>
      </c>
      <c r="E32" s="2" t="str">
        <f ca="1">IFERROR(IF(Inputs!$E$14 = "Semi-annual",(E31/OFFSET(E31,0,-2,,))-1,(E31/OFFSET(E31,0,-4,,))-1),"")</f>
        <v/>
      </c>
      <c r="F32" s="2">
        <f ca="1">IFERROR(IF(Inputs!$E$14 = "Semi-annual",(F31/OFFSET(F31,0,-2,,))-1,(F31/OFFSET(F31,0,-4,,))-1),"")</f>
        <v>4.5916693998032221E-2</v>
      </c>
      <c r="G32" s="2">
        <f ca="1">IFERROR(IF(Inputs!$E$14 = "Semi-annual",(G31/OFFSET(G31,0,-2,,))-1,(G31/OFFSET(G31,0,-4,,))-1),"")</f>
        <v>2.1515735388567769E-2</v>
      </c>
      <c r="H32" s="2">
        <f ca="1">IFERROR(IF(Inputs!$E$14 = "Semi-annual",(H31/OFFSET(H31,0,-2,,))-1,(H31/OFFSET(H31,0,-4,,))-1),"")</f>
        <v>0.10816708229426442</v>
      </c>
      <c r="I32" s="2">
        <f ca="1">IFERROR(IF(Inputs!$E$14 = "Semi-annual",(I31/OFFSET(I31,0,-2,,))-1,(I31/OFFSET(I31,0,-4,,))-1),"")</f>
        <v>0.10791847644503849</v>
      </c>
      <c r="J32" s="2">
        <f ca="1">IFERROR(IF(Inputs!$E$14 = "Semi-annual",(J31/OFFSET(J31,0,-2,,))-1,(J31/OFFSET(J31,0,-4,,))-1),"")</f>
        <v>0.14957666980244588</v>
      </c>
      <c r="K32" s="2">
        <f ca="1">IFERROR(IF(Inputs!$E$14 = "Semi-annual",(K31/OFFSET(K31,0,-2,,))-1,(K31/OFFSET(K31,0,-4,,))-1),"")</f>
        <v>0.14083621502672106</v>
      </c>
      <c r="L32" s="2">
        <f ca="1">IFERROR(IF(Inputs!$E$14 = "Semi-annual",(L31/OFFSET(L31,0,-2,,))-1,(L31/OFFSET(L31,0,-4,,))-1),"")</f>
        <v>8.2419127988748286E-2</v>
      </c>
      <c r="M32" s="2">
        <f ca="1">IFERROR(IF(Inputs!$E$14 = "Semi-annual",(M31/OFFSET(M31,0,-2,,))-1,(M31/OFFSET(M31,0,-4,,))-1),"")</f>
        <v>0.11188178528347414</v>
      </c>
      <c r="N32" s="2">
        <f ca="1">IFERROR(IF(Inputs!$E$14 = "Semi-annual",(N31/OFFSET(N31,0,-2,,))-1,(N31/OFFSET(N31,0,-4,,))-1),"")</f>
        <v>0.11429350791052917</v>
      </c>
      <c r="O32" s="2">
        <f ca="1">IFERROR(IF(Inputs!$E$14 = "Semi-annual",(O31/OFFSET(O31,0,-2,,))-1,(O31/OFFSET(O31,0,-4,,))-1),"")</f>
        <v>0.13171672637090115</v>
      </c>
      <c r="P32" s="2">
        <f ca="1">IFERROR(IF(Inputs!$E$14 = "Semi-annual",(P31/OFFSET(P31,0,-2,,))-1,(P31/OFFSET(P31,0,-4,,))-1),"")</f>
        <v>0.188929313929314</v>
      </c>
      <c r="Q32" s="2">
        <f ca="1">IFERROR(IF(Inputs!$E$14 = "Semi-annual",(Q31/OFFSET(Q31,0,-2,,))-1,(Q31/OFFSET(Q31,0,-4,,))-1),"")</f>
        <v>0.11852454570111193</v>
      </c>
      <c r="R32" s="2">
        <f ca="1">IFERROR(IF(Inputs!$E$14 = "Semi-annual",(R31/OFFSET(R31,0,-2,,))-1,(R31/OFFSET(R31,0,-4,,))-1),"")</f>
        <v>5.8996328029375711E-2</v>
      </c>
      <c r="S32" s="2">
        <f ca="1">IFERROR(IF(Inputs!$E$14 = "Semi-annual",(S31/OFFSET(S31,0,-2,,))-1,(S31/OFFSET(S31,0,-4,,))-1),"")</f>
        <v>5.5514974433893416E-2</v>
      </c>
      <c r="T32" s="2">
        <f ca="1">IFERROR(IF(Inputs!$E$14 = "Semi-annual",(T31/OFFSET(T31,0,-2,,))-1,(T31/OFFSET(T31,0,-4,,))-1),"")</f>
        <v>4.8087431693988325E-3</v>
      </c>
      <c r="U32" s="2">
        <f ca="1">IFERROR(IF(Inputs!$E$14 = "Semi-annual",(U31/OFFSET(U31,0,-2,,))-1,(U31/OFFSET(U31,0,-4,,))-1),"")</f>
        <v>7.5169738118332496E-3</v>
      </c>
      <c r="V32" s="2">
        <f ca="1">IFERROR(IF(Inputs!$E$14 = "Semi-annual",(V31/OFFSET(V31,0,-2,,))-1,(V31/OFFSET(V31,0,-4,,))-1),"")</f>
        <v>-0.59408229311141936</v>
      </c>
      <c r="W32" s="2">
        <f ca="1">IFERROR(IF(Inputs!$E$14 = "Semi-annual",(W31/OFFSET(W31,0,-2,,))-1,(W31/OFFSET(W31,0,-4,,))-1),"")</f>
        <v>-0.64429065743944636</v>
      </c>
      <c r="X32" s="2">
        <f ca="1">IFERROR(IF(Inputs!$E$14 = "Semi-annual",(X31/OFFSET(X31,0,-2,,))-1,(X31/OFFSET(X31,0,-4,,))-1),"")</f>
        <v>-0.59865129432238418</v>
      </c>
      <c r="Y32" s="2">
        <f ca="1">IFERROR(IF(Inputs!$E$14 = "Semi-annual",(Y31/OFFSET(Y31,0,-2,,))-1,(Y31/OFFSET(Y31,0,-4,,))-1),"")</f>
        <v>-0.57689530685920576</v>
      </c>
    </row>
    <row r="33" spans="1:25" x14ac:dyDescent="0.3">
      <c r="A33" s="14" t="s">
        <v>282</v>
      </c>
      <c r="B33" s="79">
        <f>B31-B11</f>
        <v>2457</v>
      </c>
      <c r="C33" s="79">
        <f t="shared" ref="C33:H33" si="4">C31-C11</f>
        <v>2466</v>
      </c>
      <c r="D33" s="79">
        <f t="shared" si="4"/>
        <v>2511</v>
      </c>
      <c r="E33" s="79">
        <f t="shared" si="4"/>
        <v>2466</v>
      </c>
      <c r="F33" s="79">
        <f t="shared" si="4"/>
        <v>2743</v>
      </c>
      <c r="G33" s="79">
        <f t="shared" si="4"/>
        <v>2654</v>
      </c>
      <c r="H33" s="79">
        <f t="shared" si="4"/>
        <v>2847</v>
      </c>
      <c r="I33" s="79">
        <f>I31-I11</f>
        <v>2718</v>
      </c>
      <c r="J33" s="79">
        <f>J31-J11</f>
        <v>3007</v>
      </c>
      <c r="K33" s="79">
        <f>K31-K11</f>
        <v>2928</v>
      </c>
      <c r="L33" s="79">
        <f t="shared" ref="L33:O33" si="5">L31-L11</f>
        <v>2907</v>
      </c>
      <c r="M33" s="79">
        <f t="shared" si="5"/>
        <v>2952</v>
      </c>
      <c r="N33" s="79">
        <f t="shared" si="5"/>
        <v>3260</v>
      </c>
      <c r="O33" s="79">
        <f t="shared" si="5"/>
        <v>3143</v>
      </c>
      <c r="P33" s="79">
        <f t="shared" ref="P33:U33" si="6">P31-P11</f>
        <v>3204</v>
      </c>
      <c r="Q33" s="79">
        <f t="shared" si="6"/>
        <v>3315</v>
      </c>
      <c r="R33" s="79">
        <f t="shared" si="6"/>
        <v>3445</v>
      </c>
      <c r="S33" s="79">
        <f t="shared" si="6"/>
        <v>3344</v>
      </c>
      <c r="T33" s="79">
        <f t="shared" si="6"/>
        <v>3504</v>
      </c>
      <c r="U33" s="79">
        <f t="shared" si="6"/>
        <v>3319</v>
      </c>
      <c r="V33" s="79">
        <f t="shared" ref="V33:Y33" si="7">V31-V11</f>
        <v>1632</v>
      </c>
      <c r="W33" s="79">
        <f t="shared" si="7"/>
        <v>1367</v>
      </c>
      <c r="X33" s="79">
        <f t="shared" si="7"/>
        <v>1658</v>
      </c>
      <c r="Y33" s="79">
        <f t="shared" si="7"/>
        <v>1558</v>
      </c>
    </row>
    <row r="34" spans="1:25" x14ac:dyDescent="0.3">
      <c r="A34" s="85" t="s">
        <v>0</v>
      </c>
      <c r="B34" s="2"/>
      <c r="C34" s="2" t="str">
        <f ca="1">IFERROR(IF(Inputs!$E$14 = "Semi-annual",(C33/OFFSET(C33,0,-2,,))-1,(C33/OFFSET(C33,0,-4,,))-1),"")</f>
        <v/>
      </c>
      <c r="D34" s="2" t="str">
        <f ca="1">IFERROR(IF(Inputs!$E$14 = "Semi-annual",(D33/OFFSET(D33,0,-2,,))-1,(D33/OFFSET(D33,0,-4,,))-1),"")</f>
        <v/>
      </c>
      <c r="E34" s="2" t="str">
        <f ca="1">IFERROR(IF(Inputs!$E$14 = "Semi-annual",(E33/OFFSET(E33,0,-2,,))-1,(E33/OFFSET(E33,0,-4,,))-1),"")</f>
        <v/>
      </c>
      <c r="F34" s="2">
        <f ca="1">IFERROR(IF(Inputs!$E$14 = "Semi-annual",(F33/OFFSET(F33,0,-2,,))-1,(F33/OFFSET(F33,0,-4,,))-1),"")</f>
        <v>0.11640211640211651</v>
      </c>
      <c r="G34" s="2">
        <f ca="1">IFERROR(IF(Inputs!$E$14 = "Semi-annual",(G33/OFFSET(G33,0,-2,,))-1,(G33/OFFSET(G33,0,-4,,))-1),"")</f>
        <v>7.6236820762368263E-2</v>
      </c>
      <c r="H34" s="2">
        <f ca="1">IFERROR(IF(Inputs!$E$14 = "Semi-annual",(H33/OFFSET(H33,0,-2,,))-1,(H33/OFFSET(H33,0,-4,,))-1),"")</f>
        <v>0.13381123058542421</v>
      </c>
      <c r="I34" s="2">
        <f ca="1">IFERROR(IF(Inputs!$E$14 = "Semi-annual",(I33/OFFSET(I33,0,-2,,))-1,(I33/OFFSET(I33,0,-4,,))-1),"")</f>
        <v>0.10218978102189791</v>
      </c>
      <c r="J34" s="2">
        <f ca="1">IFERROR(IF(Inputs!$E$14 = "Semi-annual",(J33/OFFSET(J33,0,-2,,))-1,(J33/OFFSET(J33,0,-4,,))-1),"")</f>
        <v>9.6244987240247992E-2</v>
      </c>
      <c r="K34" s="2">
        <f ca="1">IFERROR(IF(Inputs!$E$14 = "Semi-annual",(K33/OFFSET(K33,0,-2,,))-1,(K33/OFFSET(K33,0,-4,,))-1),"")</f>
        <v>0.10324039186134137</v>
      </c>
      <c r="L34" s="2">
        <f ca="1">IFERROR(IF(Inputs!$E$14 = "Semi-annual",(L33/OFFSET(L33,0,-2,,))-1,(L33/OFFSET(L33,0,-4,,))-1),"")</f>
        <v>2.1074815595363505E-2</v>
      </c>
      <c r="M34" s="2">
        <f ca="1">IFERROR(IF(Inputs!$E$14 = "Semi-annual",(M33/OFFSET(M33,0,-2,,))-1,(M33/OFFSET(M33,0,-4,,))-1),"")</f>
        <v>8.6092715231788075E-2</v>
      </c>
      <c r="N34" s="2">
        <f ca="1">IFERROR(IF(Inputs!$E$14 = "Semi-annual",(N33/OFFSET(N33,0,-2,,))-1,(N33/OFFSET(N33,0,-4,,))-1),"")</f>
        <v>8.4137013634852043E-2</v>
      </c>
      <c r="O34" s="2">
        <f ca="1">IFERROR(IF(Inputs!$E$14 = "Semi-annual",(O33/OFFSET(O33,0,-2,,))-1,(O33/OFFSET(O33,0,-4,,))-1),"")</f>
        <v>7.3428961748633892E-2</v>
      </c>
      <c r="P34" s="2">
        <f ca="1">IFERROR(IF(Inputs!$E$14 = "Semi-annual",(P33/OFFSET(P33,0,-2,,))-1,(P33/OFFSET(P33,0,-4,,))-1),"")</f>
        <v>0.10216718266253877</v>
      </c>
      <c r="Q34" s="2">
        <f ca="1">IFERROR(IF(Inputs!$E$14 = "Semi-annual",(Q33/OFFSET(Q33,0,-2,,))-1,(Q33/OFFSET(Q33,0,-4,,))-1),"")</f>
        <v>0.12296747967479682</v>
      </c>
      <c r="R34" s="2">
        <f ca="1">IFERROR(IF(Inputs!$E$14 = "Semi-annual",(R33/OFFSET(R33,0,-2,,))-1,(R33/OFFSET(R33,0,-4,,))-1),"")</f>
        <v>5.6748466257668717E-2</v>
      </c>
      <c r="S34" s="2">
        <f ca="1">IFERROR(IF(Inputs!$E$14 = "Semi-annual",(S33/OFFSET(S33,0,-2,,))-1,(S33/OFFSET(S33,0,-4,,))-1),"")</f>
        <v>6.3951638561883462E-2</v>
      </c>
      <c r="T34" s="2">
        <f ca="1">IFERROR(IF(Inputs!$E$14 = "Semi-annual",(T33/OFFSET(T33,0,-2,,))-1,(T33/OFFSET(T33,0,-4,,))-1),"")</f>
        <v>9.3632958801498134E-2</v>
      </c>
      <c r="U34" s="2">
        <f ca="1">IFERROR(IF(Inputs!$E$14 = "Semi-annual",(U33/OFFSET(U33,0,-2,,))-1,(U33/OFFSET(U33,0,-4,,))-1),"")</f>
        <v>1.2066365007541435E-3</v>
      </c>
      <c r="V34" s="2">
        <f ca="1">IFERROR(IF(Inputs!$E$14 = "Semi-annual",(V33/OFFSET(V33,0,-2,,))-1,(V33/OFFSET(V33,0,-4,,))-1),"")</f>
        <v>-0.52626995645863572</v>
      </c>
      <c r="W34" s="2">
        <f ca="1">IFERROR(IF(Inputs!$E$14 = "Semi-annual",(W33/OFFSET(W33,0,-2,,))-1,(W33/OFFSET(W33,0,-4,,))-1),"")</f>
        <v>-0.59120813397129179</v>
      </c>
      <c r="X34" s="2">
        <f ca="1">IFERROR(IF(Inputs!$E$14 = "Semi-annual",(X33/OFFSET(X33,0,-2,,))-1,(X33/OFFSET(X33,0,-4,,))-1),"")</f>
        <v>-0.52682648401826482</v>
      </c>
      <c r="Y34" s="2">
        <f ca="1">IFERROR(IF(Inputs!$E$14 = "Semi-annual",(Y33/OFFSET(Y33,0,-2,,))-1,(Y33/OFFSET(Y33,0,-4,,))-1),"")</f>
        <v>-0.53058150045194341</v>
      </c>
    </row>
    <row r="35" spans="1:25" x14ac:dyDescent="0.3">
      <c r="A35" s="8" t="s">
        <v>281</v>
      </c>
      <c r="B35" s="10"/>
      <c r="C35" s="10"/>
      <c r="D35" s="10"/>
      <c r="E35" s="10"/>
      <c r="F35" s="10"/>
      <c r="G35" s="10"/>
      <c r="H35" s="10"/>
      <c r="I35" s="10"/>
      <c r="J35" s="10"/>
      <c r="K35" s="10"/>
      <c r="L35" s="10"/>
      <c r="M35" s="10"/>
      <c r="N35" s="10"/>
      <c r="O35" s="10"/>
      <c r="P35" s="10"/>
      <c r="Q35" s="10"/>
      <c r="R35" s="10"/>
      <c r="S35" s="10"/>
      <c r="T35" s="10"/>
      <c r="U35" s="10"/>
      <c r="V35" s="10"/>
      <c r="W35" s="10"/>
      <c r="X35" s="10"/>
      <c r="Y35" s="10"/>
    </row>
    <row r="36" spans="1:25" x14ac:dyDescent="0.3">
      <c r="A36" s="85" t="s">
        <v>280</v>
      </c>
      <c r="B36" s="2">
        <f>IFERROR(B9/B31,"N/A")</f>
        <v>0.18629058707773041</v>
      </c>
      <c r="C36" s="2">
        <f t="shared" ref="C36:J36" si="8">IFERROR(C9/C31,"N/A")</f>
        <v>0.18240205523442518</v>
      </c>
      <c r="D36" s="2">
        <f t="shared" si="8"/>
        <v>0.18640897755610972</v>
      </c>
      <c r="E36" s="2">
        <f t="shared" si="8"/>
        <v>0.19712662880053458</v>
      </c>
      <c r="F36" s="2">
        <f t="shared" si="8"/>
        <v>0.19065537786139855</v>
      </c>
      <c r="G36" s="2">
        <f t="shared" si="8"/>
        <v>0.19207796290474694</v>
      </c>
      <c r="H36" s="2">
        <f t="shared" si="8"/>
        <v>0.18509142053445851</v>
      </c>
      <c r="I36" s="2">
        <f t="shared" si="8"/>
        <v>0.19089264173703258</v>
      </c>
      <c r="J36" s="2">
        <f t="shared" si="8"/>
        <v>0.17566830332787781</v>
      </c>
      <c r="K36" s="2">
        <f>IFERROR(K9/K31,"N/A")</f>
        <v>0.18269495728850924</v>
      </c>
      <c r="L36" s="2">
        <f t="shared" ref="L36:O36" si="9">IFERROR(L9/L31,"N/A")</f>
        <v>0.17203742203742203</v>
      </c>
      <c r="M36" s="2">
        <f t="shared" si="9"/>
        <v>0.19039869812855981</v>
      </c>
      <c r="N36" s="2">
        <f t="shared" si="9"/>
        <v>0.17135862913096694</v>
      </c>
      <c r="O36" s="2">
        <f t="shared" si="9"/>
        <v>0.17311906501095689</v>
      </c>
      <c r="P36" s="2">
        <f t="shared" ref="P36:U36" si="10">IFERROR(P9/P31,"N/A")</f>
        <v>0.16240437158469945</v>
      </c>
      <c r="Q36" s="2">
        <f t="shared" si="10"/>
        <v>0.17434529582929195</v>
      </c>
      <c r="R36" s="2">
        <f t="shared" si="10"/>
        <v>0.18469717984281092</v>
      </c>
      <c r="S36" s="2">
        <f t="shared" si="10"/>
        <v>0.18016147635524798</v>
      </c>
      <c r="T36" s="2">
        <f t="shared" si="10"/>
        <v>0.17141614096149663</v>
      </c>
      <c r="U36" s="2">
        <f t="shared" si="10"/>
        <v>0.19157641395908545</v>
      </c>
      <c r="V36" s="2">
        <f t="shared" ref="V36:Y36" si="11">IFERROR(V9/V31,"N/A")</f>
        <v>0.21298405466970388</v>
      </c>
      <c r="W36" s="2">
        <f t="shared" si="11"/>
        <v>0.18547341115434501</v>
      </c>
      <c r="X36" s="2">
        <f t="shared" si="11"/>
        <v>0.194579945799458</v>
      </c>
      <c r="Y36" s="2">
        <f t="shared" si="11"/>
        <v>0.20875995449374288</v>
      </c>
    </row>
    <row r="37" spans="1:25" x14ac:dyDescent="0.3">
      <c r="A37" s="85" t="s">
        <v>279</v>
      </c>
      <c r="B37" s="2">
        <f>IFERROR(B11/B31,"N/A")</f>
        <v>0.19416202033453592</v>
      </c>
      <c r="C37" s="2">
        <f t="shared" ref="C37:J37" si="12">IFERROR(C11/C31,"N/A")</f>
        <v>0.20809248554913296</v>
      </c>
      <c r="D37" s="2">
        <f t="shared" si="12"/>
        <v>0.21726932668329177</v>
      </c>
      <c r="E37" s="2">
        <f t="shared" si="12"/>
        <v>0.17607751419979953</v>
      </c>
      <c r="F37" s="2">
        <f t="shared" si="12"/>
        <v>0.1398557541549075</v>
      </c>
      <c r="G37" s="2">
        <f t="shared" si="12"/>
        <v>0.16567117258723671</v>
      </c>
      <c r="H37" s="2">
        <f t="shared" si="12"/>
        <v>0.1991561181434599</v>
      </c>
      <c r="I37" s="2">
        <f t="shared" si="12"/>
        <v>0.18033775633293125</v>
      </c>
      <c r="J37" s="2">
        <f t="shared" si="12"/>
        <v>0.17975995635570102</v>
      </c>
      <c r="K37" s="2">
        <f>IFERROR(K11/K31,"N/A")</f>
        <v>0.19316616147699089</v>
      </c>
      <c r="L37" s="2">
        <f t="shared" ref="L37:O37" si="13">IFERROR(L11/L31,"N/A")</f>
        <v>0.24454261954261955</v>
      </c>
      <c r="M37" s="2">
        <f t="shared" si="13"/>
        <v>0.19934906427990237</v>
      </c>
      <c r="N37" s="2">
        <f t="shared" si="13"/>
        <v>0.20195838433292534</v>
      </c>
      <c r="O37" s="2">
        <f t="shared" si="13"/>
        <v>0.23472120769418067</v>
      </c>
      <c r="P37" s="2">
        <f t="shared" ref="P37:U37" si="14">IFERROR(P11/P31,"N/A")</f>
        <v>0.29967213114754099</v>
      </c>
      <c r="Q37" s="2">
        <f t="shared" si="14"/>
        <v>0.19616876818622697</v>
      </c>
      <c r="R37" s="2">
        <f t="shared" si="14"/>
        <v>0.2036523347202959</v>
      </c>
      <c r="S37" s="2">
        <f t="shared" si="14"/>
        <v>0.22860438292964244</v>
      </c>
      <c r="T37" s="2">
        <f t="shared" si="14"/>
        <v>0.23776375897324342</v>
      </c>
      <c r="U37" s="2">
        <f t="shared" si="14"/>
        <v>0.20120336943441636</v>
      </c>
      <c r="V37" s="2">
        <f t="shared" ref="V37:Y37" si="15">IFERROR(V11/V31,"N/A")</f>
        <v>7.0615034168564919E-2</v>
      </c>
      <c r="W37" s="2">
        <f t="shared" si="15"/>
        <v>0.11348897535667964</v>
      </c>
      <c r="X37" s="2">
        <f t="shared" si="15"/>
        <v>0.1013550135501355</v>
      </c>
      <c r="Y37" s="2">
        <f t="shared" si="15"/>
        <v>0.11376564277588168</v>
      </c>
    </row>
    <row r="38" spans="1:25" x14ac:dyDescent="0.3">
      <c r="A38" s="85" t="s">
        <v>278</v>
      </c>
      <c r="B38" s="2">
        <f>IFERROR(B13/B31, "N/A")</f>
        <v>6.1659560511643161E-2</v>
      </c>
      <c r="C38" s="2">
        <f t="shared" ref="C38:J38" si="16">IFERROR(C13/C31, "N/A")</f>
        <v>6.101477199743096E-2</v>
      </c>
      <c r="D38" s="2">
        <f t="shared" si="16"/>
        <v>5.9850374064837904E-2</v>
      </c>
      <c r="E38" s="2">
        <f t="shared" si="16"/>
        <v>6.782492482459071E-2</v>
      </c>
      <c r="F38" s="2">
        <f t="shared" si="16"/>
        <v>6.9300721229225468E-2</v>
      </c>
      <c r="G38" s="2">
        <f t="shared" si="16"/>
        <v>7.513360578434454E-2</v>
      </c>
      <c r="H38" s="2">
        <f t="shared" si="16"/>
        <v>6.3853727144866382E-2</v>
      </c>
      <c r="I38" s="2">
        <f t="shared" si="16"/>
        <v>5.8202653799758745E-2</v>
      </c>
      <c r="J38" s="2">
        <f t="shared" si="16"/>
        <v>6.2193126022913256E-2</v>
      </c>
      <c r="K38" s="2">
        <f>IFERROR(K13/K31, "N/A")</f>
        <v>6.2276109120969966E-2</v>
      </c>
      <c r="L38" s="2">
        <f t="shared" ref="L38:O38" si="17">IFERROR(L13/L31, "N/A")</f>
        <v>6.2629937629937626E-2</v>
      </c>
      <c r="M38" s="2">
        <f t="shared" si="17"/>
        <v>6.5907241659886082E-2</v>
      </c>
      <c r="N38" s="2">
        <f t="shared" si="17"/>
        <v>6.2668298653610774E-2</v>
      </c>
      <c r="O38" s="2">
        <f t="shared" si="17"/>
        <v>5.356708059410762E-2</v>
      </c>
      <c r="P38" s="2">
        <f t="shared" ref="P38:U38" si="18">IFERROR(P13/P31, "N/A")</f>
        <v>6.0546448087431697E-2</v>
      </c>
      <c r="Q38" s="2">
        <f t="shared" si="18"/>
        <v>6.0620756547041708E-2</v>
      </c>
      <c r="R38" s="2">
        <f t="shared" si="18"/>
        <v>5.6634304207119741E-2</v>
      </c>
      <c r="S38" s="2">
        <f t="shared" si="18"/>
        <v>5.8823529411764705E-2</v>
      </c>
      <c r="T38" s="2">
        <f t="shared" si="18"/>
        <v>5.5253426147487489E-2</v>
      </c>
      <c r="U38" s="2">
        <f t="shared" si="18"/>
        <v>6.4981949458483748E-2</v>
      </c>
      <c r="V38" s="2">
        <f t="shared" ref="V38:Y38" si="19">IFERROR(V13/V31, "N/A")</f>
        <v>0.1030751708428246</v>
      </c>
      <c r="W38" s="2">
        <f t="shared" si="19"/>
        <v>2.9182879377431907E-2</v>
      </c>
      <c r="X38" s="2">
        <f t="shared" si="19"/>
        <v>0.1002710027100271</v>
      </c>
      <c r="Y38" s="2">
        <f t="shared" si="19"/>
        <v>8.5324232081911269E-2</v>
      </c>
    </row>
    <row r="39" spans="1:25" x14ac:dyDescent="0.3">
      <c r="A39" s="85" t="s">
        <v>277</v>
      </c>
      <c r="B39" s="2">
        <f>IFERROR(B15/B31, "N/A")</f>
        <v>0.14037389307969828</v>
      </c>
      <c r="C39" s="2">
        <f t="shared" ref="C39:J39" si="20">IFERROR(C15/C31, "N/A")</f>
        <v>0.1724470134874759</v>
      </c>
      <c r="D39" s="2">
        <f t="shared" si="20"/>
        <v>0.17830423940149626</v>
      </c>
      <c r="E39" s="2">
        <f t="shared" si="20"/>
        <v>-2.0046775810223854E-3</v>
      </c>
      <c r="F39" s="2">
        <f t="shared" si="20"/>
        <v>0.17591721542803387</v>
      </c>
      <c r="G39" s="2">
        <f t="shared" si="20"/>
        <v>0.12008802263439169</v>
      </c>
      <c r="H39" s="2">
        <f t="shared" si="20"/>
        <v>0.11898734177215189</v>
      </c>
      <c r="I39" s="2">
        <f t="shared" si="20"/>
        <v>9.9819059107358263E-2</v>
      </c>
      <c r="J39" s="2">
        <f t="shared" si="20"/>
        <v>0.15030005455537371</v>
      </c>
      <c r="K39" s="2">
        <f>IFERROR(K15/K31, "N/A")</f>
        <v>0.11848994213281897</v>
      </c>
      <c r="L39" s="2">
        <f t="shared" ref="L39:O39" si="21">IFERROR(L15/L31, "N/A")</f>
        <v>0.11668399168399168</v>
      </c>
      <c r="M39" s="2">
        <f t="shared" si="21"/>
        <v>0.10740439381611067</v>
      </c>
      <c r="N39" s="2">
        <f t="shared" si="21"/>
        <v>0.14516523867809059</v>
      </c>
      <c r="O39" s="2">
        <f t="shared" si="21"/>
        <v>0.11176040905770636</v>
      </c>
      <c r="P39" s="2">
        <f t="shared" ref="P39:U39" si="22">IFERROR(P15/P31, "N/A")</f>
        <v>0.10754098360655738</v>
      </c>
      <c r="Q39" s="2">
        <f t="shared" si="22"/>
        <v>0.11032977691561591</v>
      </c>
      <c r="R39" s="2">
        <f t="shared" si="22"/>
        <v>0.14447526583448914</v>
      </c>
      <c r="S39" s="2">
        <f t="shared" si="22"/>
        <v>0.10980392156862745</v>
      </c>
      <c r="T39" s="2">
        <f t="shared" si="22"/>
        <v>0.10767892103545791</v>
      </c>
      <c r="U39" s="2">
        <f t="shared" si="22"/>
        <v>0.13453670276774971</v>
      </c>
      <c r="V39" s="2">
        <f t="shared" ref="V39:Y39" si="23">IFERROR(V15/V31, "N/A")</f>
        <v>0.12756264236902051</v>
      </c>
      <c r="W39" s="2">
        <f t="shared" si="23"/>
        <v>8.3009079118028531E-2</v>
      </c>
      <c r="X39" s="2">
        <f t="shared" si="23"/>
        <v>2.9810298102981029E-2</v>
      </c>
      <c r="Y39" s="2">
        <f t="shared" si="23"/>
        <v>5.8589306029579069E-2</v>
      </c>
    </row>
    <row r="40" spans="1:25" x14ac:dyDescent="0.3">
      <c r="A40" s="85" t="s">
        <v>276</v>
      </c>
      <c r="B40" s="2">
        <f>IFERROR(B17/B31, "N/A")</f>
        <v>5.0508363397835356E-2</v>
      </c>
      <c r="C40" s="2">
        <f t="shared" ref="C40:J40" si="24">IFERROR(C17/C31, "N/A")</f>
        <v>4.8811817597944764E-2</v>
      </c>
      <c r="D40" s="2">
        <f t="shared" si="24"/>
        <v>4.894014962593516E-2</v>
      </c>
      <c r="E40" s="2">
        <f t="shared" si="24"/>
        <v>4.8446374874707654E-2</v>
      </c>
      <c r="F40" s="2">
        <f t="shared" si="24"/>
        <v>5.7071182188773911E-2</v>
      </c>
      <c r="G40" s="2">
        <f t="shared" si="24"/>
        <v>5.3442313737818298E-2</v>
      </c>
      <c r="H40" s="2">
        <f t="shared" si="24"/>
        <v>5.0351617440225038E-2</v>
      </c>
      <c r="I40" s="2">
        <f t="shared" si="24"/>
        <v>5.1869722557297951E-2</v>
      </c>
      <c r="J40" s="2">
        <f t="shared" si="24"/>
        <v>5.5919258046917622E-2</v>
      </c>
      <c r="K40" s="2">
        <f>IFERROR(K17/K31, "N/A")</f>
        <v>5.4836042987048771E-2</v>
      </c>
      <c r="L40" s="2">
        <f t="shared" ref="L40:O40" si="25">IFERROR(L17/L31, "N/A")</f>
        <v>5.3014553014553017E-2</v>
      </c>
      <c r="M40" s="2">
        <f t="shared" si="25"/>
        <v>4.5836723623542172E-2</v>
      </c>
      <c r="N40" s="2">
        <f t="shared" si="25"/>
        <v>4.6266829865361077E-2</v>
      </c>
      <c r="O40" s="2">
        <f t="shared" si="25"/>
        <v>4.8453859264670072E-2</v>
      </c>
      <c r="P40" s="2">
        <f t="shared" ref="P40:U40" si="26">IFERROR(P17/P31, "N/A")</f>
        <v>5.1803278688524593E-2</v>
      </c>
      <c r="Q40" s="2">
        <f t="shared" si="26"/>
        <v>4.4131910766246361E-2</v>
      </c>
      <c r="R40" s="2">
        <f t="shared" si="26"/>
        <v>4.9237170596393896E-2</v>
      </c>
      <c r="S40" s="2">
        <f t="shared" si="26"/>
        <v>5.0519031141868509E-2</v>
      </c>
      <c r="T40" s="2">
        <f t="shared" si="26"/>
        <v>5.3948227104633456E-2</v>
      </c>
      <c r="U40" s="2">
        <f t="shared" si="26"/>
        <v>4.4043321299638991E-2</v>
      </c>
      <c r="V40" s="2">
        <f t="shared" ref="V40:Y40" si="27">IFERROR(V17/V31, "N/A")</f>
        <v>7.4031890660592259E-3</v>
      </c>
      <c r="W40" s="2">
        <f t="shared" si="27"/>
        <v>1.9455252918287938E-2</v>
      </c>
      <c r="X40" s="2">
        <f t="shared" si="27"/>
        <v>1.4092140921409214E-2</v>
      </c>
      <c r="Y40" s="2">
        <f t="shared" si="27"/>
        <v>1.3651877133105802E-2</v>
      </c>
    </row>
    <row r="41" spans="1:25" x14ac:dyDescent="0.3">
      <c r="A41" s="85" t="s">
        <v>275</v>
      </c>
      <c r="B41" s="2">
        <f>IFERROR(B19/B31, "N/A")</f>
        <v>0.28993112495900297</v>
      </c>
      <c r="C41" s="2">
        <f t="shared" ref="C41:J41" si="28">IFERROR(C19/C31, "N/A")</f>
        <v>0.24341682723185612</v>
      </c>
      <c r="D41" s="2">
        <f t="shared" si="28"/>
        <v>0.23004987531172069</v>
      </c>
      <c r="E41" s="2">
        <f t="shared" si="28"/>
        <v>0.42632809889742734</v>
      </c>
      <c r="F41" s="2">
        <f t="shared" si="28"/>
        <v>0.27500783944810286</v>
      </c>
      <c r="G41" s="2">
        <f t="shared" si="28"/>
        <v>0.29487582521219741</v>
      </c>
      <c r="H41" s="2">
        <f t="shared" si="28"/>
        <v>0.28748241912798878</v>
      </c>
      <c r="I41" s="2">
        <f t="shared" si="28"/>
        <v>0.31875753920386007</v>
      </c>
      <c r="J41" s="2">
        <f t="shared" si="28"/>
        <v>0.28068739770867429</v>
      </c>
      <c r="K41" s="2">
        <f>IFERROR(K19/K31, "N/A")</f>
        <v>0.28602920914852575</v>
      </c>
      <c r="L41" s="2">
        <f t="shared" ref="L41:O41" si="29">IFERROR(L19/L31, "N/A")</f>
        <v>0.25597713097713098</v>
      </c>
      <c r="M41" s="2">
        <f t="shared" si="29"/>
        <v>0.29048006509357199</v>
      </c>
      <c r="N41" s="2">
        <f t="shared" si="29"/>
        <v>0.27662178702570378</v>
      </c>
      <c r="O41" s="2">
        <f t="shared" si="29"/>
        <v>0.28074019965911856</v>
      </c>
      <c r="P41" s="2">
        <f t="shared" ref="P41:U41" si="30">IFERROR(P19/P31, "N/A")</f>
        <v>0.22950819672131148</v>
      </c>
      <c r="Q41" s="2">
        <f t="shared" si="30"/>
        <v>0.3174102812803104</v>
      </c>
      <c r="R41" s="2">
        <f t="shared" si="30"/>
        <v>0.25589459084604715</v>
      </c>
      <c r="S41" s="2">
        <f t="shared" si="30"/>
        <v>0.25813148788927337</v>
      </c>
      <c r="T41" s="2">
        <f t="shared" si="30"/>
        <v>0.26169240809223404</v>
      </c>
      <c r="U41" s="2">
        <f t="shared" si="30"/>
        <v>0.24235860409145607</v>
      </c>
      <c r="V41" s="2">
        <f t="shared" ref="V41:Y41" si="31">IFERROR(V19/V31, "N/A")</f>
        <v>0.20102505694760819</v>
      </c>
      <c r="W41" s="2">
        <f t="shared" si="31"/>
        <v>0.29701686121919585</v>
      </c>
      <c r="X41" s="2">
        <f t="shared" si="31"/>
        <v>0.3224932249322493</v>
      </c>
      <c r="Y41" s="2">
        <f t="shared" si="31"/>
        <v>0.28498293515358364</v>
      </c>
    </row>
    <row r="42" spans="1:25" x14ac:dyDescent="0.3">
      <c r="A42" s="85" t="s">
        <v>274</v>
      </c>
      <c r="B42" s="2">
        <f>IFERROR(B21/B31, "N/A")</f>
        <v>0</v>
      </c>
      <c r="C42" s="2">
        <f t="shared" ref="C42:J42" si="32">IFERROR(C21/C31, "N/A")</f>
        <v>0</v>
      </c>
      <c r="D42" s="2">
        <f t="shared" si="32"/>
        <v>0</v>
      </c>
      <c r="E42" s="2">
        <f t="shared" si="32"/>
        <v>0</v>
      </c>
      <c r="F42" s="2">
        <f t="shared" si="32"/>
        <v>0</v>
      </c>
      <c r="G42" s="2">
        <f t="shared" si="32"/>
        <v>0</v>
      </c>
      <c r="H42" s="2">
        <f t="shared" si="32"/>
        <v>0</v>
      </c>
      <c r="I42" s="2">
        <f t="shared" si="32"/>
        <v>0</v>
      </c>
      <c r="J42" s="2">
        <f t="shared" si="32"/>
        <v>0</v>
      </c>
      <c r="K42" s="2">
        <f>IFERROR(K21/K31, "N/A")</f>
        <v>0</v>
      </c>
      <c r="L42" s="2">
        <f t="shared" ref="L42:O42" si="33">IFERROR(L21/L31, "N/A")</f>
        <v>0</v>
      </c>
      <c r="M42" s="2">
        <f t="shared" si="33"/>
        <v>0</v>
      </c>
      <c r="N42" s="2">
        <f t="shared" si="33"/>
        <v>0</v>
      </c>
      <c r="O42" s="2">
        <f t="shared" si="33"/>
        <v>0</v>
      </c>
      <c r="P42" s="2">
        <f t="shared" ref="P42:U42" si="34">IFERROR(P21/P31, "N/A")</f>
        <v>0</v>
      </c>
      <c r="Q42" s="2">
        <f t="shared" si="34"/>
        <v>0</v>
      </c>
      <c r="R42" s="2">
        <f t="shared" si="34"/>
        <v>0</v>
      </c>
      <c r="S42" s="2">
        <f t="shared" si="34"/>
        <v>0</v>
      </c>
      <c r="T42" s="2">
        <f t="shared" si="34"/>
        <v>0</v>
      </c>
      <c r="U42" s="2">
        <f t="shared" si="34"/>
        <v>0</v>
      </c>
      <c r="V42" s="2">
        <f t="shared" ref="V42:Y42" si="35">IFERROR(V21/V31, "N/A")</f>
        <v>0</v>
      </c>
      <c r="W42" s="2">
        <f t="shared" si="35"/>
        <v>0</v>
      </c>
      <c r="X42" s="2">
        <f t="shared" si="35"/>
        <v>0</v>
      </c>
      <c r="Y42" s="2">
        <f t="shared" si="35"/>
        <v>0</v>
      </c>
    </row>
    <row r="43" spans="1:25" x14ac:dyDescent="0.3">
      <c r="A43" s="85" t="s">
        <v>273</v>
      </c>
      <c r="B43" s="61">
        <f>IFERROR(B23/B31, "N/A")</f>
        <v>0.18104296490652674</v>
      </c>
      <c r="C43" s="61">
        <f t="shared" ref="C43:J43" si="36">IFERROR(C23/C31, "N/A")</f>
        <v>0.19075144508670519</v>
      </c>
      <c r="D43" s="61">
        <f t="shared" si="36"/>
        <v>0.18204488778054864</v>
      </c>
      <c r="E43" s="61">
        <f t="shared" si="36"/>
        <v>0.18342799866354828</v>
      </c>
      <c r="F43" s="61">
        <f t="shared" si="36"/>
        <v>0.17842583882094701</v>
      </c>
      <c r="G43" s="61">
        <f t="shared" si="36"/>
        <v>0.18170386670858221</v>
      </c>
      <c r="H43" s="61">
        <f t="shared" si="36"/>
        <v>0.17974683544303796</v>
      </c>
      <c r="I43" s="61">
        <f t="shared" si="36"/>
        <v>0.18757539203860071</v>
      </c>
      <c r="J43" s="61">
        <f t="shared" si="36"/>
        <v>0.17239498090561919</v>
      </c>
      <c r="K43" s="61">
        <f>IFERROR(K23/K31, "N/A")</f>
        <v>0.17856158721410856</v>
      </c>
      <c r="L43" s="61">
        <f t="shared" ref="L43:O43" si="37">IFERROR(L23/L31, "N/A")</f>
        <v>0.14371101871101871</v>
      </c>
      <c r="M43" s="61">
        <f t="shared" si="37"/>
        <v>0.17548142120965554</v>
      </c>
      <c r="N43" s="61">
        <f t="shared" si="37"/>
        <v>0.16523867809057527</v>
      </c>
      <c r="O43" s="61">
        <f t="shared" si="37"/>
        <v>0.18066715364012662</v>
      </c>
      <c r="P43" s="61">
        <f t="shared" ref="P43:U43" si="38">IFERROR(P23/P31, "N/A")</f>
        <v>0.12415300546448088</v>
      </c>
      <c r="Q43" s="61">
        <f t="shared" si="38"/>
        <v>0.20780795344325897</v>
      </c>
      <c r="R43" s="61">
        <f t="shared" si="38"/>
        <v>0.13730929264909847</v>
      </c>
      <c r="S43" s="61">
        <f t="shared" si="38"/>
        <v>0.13933102652825835</v>
      </c>
      <c r="T43" s="61">
        <f t="shared" si="38"/>
        <v>0.13748096584729172</v>
      </c>
      <c r="U43" s="61">
        <f t="shared" si="38"/>
        <v>0.11335740072202166</v>
      </c>
      <c r="V43" s="61">
        <f t="shared" ref="V43:Y43" si="39">IFERROR(V23/V31, "N/A")</f>
        <v>9.7949886104783598E-2</v>
      </c>
      <c r="W43" s="61">
        <f t="shared" si="39"/>
        <v>0.12840466926070038</v>
      </c>
      <c r="X43" s="61">
        <f t="shared" si="39"/>
        <v>0.13279132791327913</v>
      </c>
      <c r="Y43" s="61">
        <f t="shared" si="39"/>
        <v>0.11092150170648464</v>
      </c>
    </row>
    <row r="44" spans="1:25" x14ac:dyDescent="0.3">
      <c r="A44" s="85" t="s">
        <v>272</v>
      </c>
      <c r="B44" s="2">
        <f>IFERROR(B25/B31, "N/A")</f>
        <v>0.10888816005247622</v>
      </c>
      <c r="C44" s="2">
        <f t="shared" ref="C44:J44" si="40">IFERROR(C25/C31, "N/A")</f>
        <v>5.266538214515093E-2</v>
      </c>
      <c r="D44" s="2">
        <f t="shared" si="40"/>
        <v>4.8004987531172071E-2</v>
      </c>
      <c r="E44" s="2">
        <f t="shared" si="40"/>
        <v>0.24290010023387906</v>
      </c>
      <c r="F44" s="2">
        <f t="shared" si="40"/>
        <v>9.6582000627155842E-2</v>
      </c>
      <c r="G44" s="2">
        <f t="shared" si="40"/>
        <v>0.11317195850361522</v>
      </c>
      <c r="H44" s="2">
        <f t="shared" si="40"/>
        <v>0.10773558368495077</v>
      </c>
      <c r="I44" s="2">
        <f t="shared" si="40"/>
        <v>0.13118214716525936</v>
      </c>
      <c r="J44" s="2">
        <f t="shared" si="40"/>
        <v>0.1082924168030551</v>
      </c>
      <c r="K44" s="2">
        <f>IFERROR(K25/K31, "N/A")</f>
        <v>0.1074676219344172</v>
      </c>
      <c r="L44" s="2">
        <f t="shared" ref="L44:O44" si="41">IFERROR(L25/L31, "N/A")</f>
        <v>0.11226611226611227</v>
      </c>
      <c r="M44" s="2">
        <f t="shared" si="41"/>
        <v>0.11499864388391647</v>
      </c>
      <c r="N44" s="2">
        <f t="shared" si="41"/>
        <v>0.11138310893512852</v>
      </c>
      <c r="O44" s="2">
        <f t="shared" si="41"/>
        <v>0.10007304601899196</v>
      </c>
      <c r="P44" s="2">
        <f t="shared" ref="P44:U44" si="42">IFERROR(P25/P31, "N/A")</f>
        <v>0.1053551912568306</v>
      </c>
      <c r="Q44" s="2">
        <f t="shared" si="42"/>
        <v>0.1096023278370514</v>
      </c>
      <c r="R44" s="2">
        <f t="shared" si="42"/>
        <v>0.11858529819694869</v>
      </c>
      <c r="S44" s="2">
        <f t="shared" si="42"/>
        <v>0.11880046136101499</v>
      </c>
      <c r="T44" s="2">
        <f t="shared" si="42"/>
        <v>0.12421144224494235</v>
      </c>
      <c r="U44" s="2">
        <f t="shared" si="42"/>
        <v>0.12900120336943441</v>
      </c>
      <c r="V44" s="2">
        <f t="shared" ref="V44:Y44" si="43">IFERROR(V25/V31, "N/A")</f>
        <v>0.1030751708428246</v>
      </c>
      <c r="W44" s="2">
        <f t="shared" si="43"/>
        <v>0.16861219195849547</v>
      </c>
      <c r="X44" s="2">
        <f t="shared" si="43"/>
        <v>0.18970189701897019</v>
      </c>
      <c r="Y44" s="2">
        <f t="shared" si="43"/>
        <v>0.17406143344709898</v>
      </c>
    </row>
    <row r="45" spans="1:25" x14ac:dyDescent="0.3">
      <c r="A45" s="85" t="s">
        <v>271</v>
      </c>
      <c r="B45" s="2">
        <f>IFERROR(B27/B31, "N/A")</f>
        <v>2.6894063627418825E-2</v>
      </c>
      <c r="C45" s="2">
        <f t="shared" ref="C45:J45" si="44">IFERROR(C27/C31, "N/A")</f>
        <v>2.6974951830443159E-2</v>
      </c>
      <c r="D45" s="2">
        <f t="shared" si="44"/>
        <v>2.7743142144638404E-2</v>
      </c>
      <c r="E45" s="2">
        <f t="shared" si="44"/>
        <v>3.2743067156698967E-2</v>
      </c>
      <c r="F45" s="2">
        <f t="shared" si="44"/>
        <v>3.5120727500783946E-2</v>
      </c>
      <c r="G45" s="2">
        <f t="shared" si="44"/>
        <v>3.5209053756680292E-2</v>
      </c>
      <c r="H45" s="2">
        <f t="shared" si="44"/>
        <v>3.3192686357243317E-2</v>
      </c>
      <c r="I45" s="2">
        <f t="shared" si="44"/>
        <v>3.6188178528347409E-2</v>
      </c>
      <c r="J45" s="2">
        <f t="shared" si="44"/>
        <v>3.3278777959629025E-2</v>
      </c>
      <c r="K45" s="2">
        <f>IFERROR(K27/K31, "N/A")</f>
        <v>3.582254064480573E-2</v>
      </c>
      <c r="L45" s="2">
        <f t="shared" ref="L45:O45" si="45">IFERROR(L27/L31, "N/A")</f>
        <v>3.2484407484407486E-2</v>
      </c>
      <c r="M45" s="2">
        <f t="shared" si="45"/>
        <v>3.4174125305126118E-2</v>
      </c>
      <c r="N45" s="2">
        <f t="shared" si="45"/>
        <v>3.0599755201958383E-2</v>
      </c>
      <c r="O45" s="2">
        <f t="shared" si="45"/>
        <v>2.9948867786705625E-2</v>
      </c>
      <c r="P45" s="2">
        <f t="shared" ref="P45:U45" si="46">IFERROR(P27/P31, "N/A")</f>
        <v>2.994535519125683E-2</v>
      </c>
      <c r="Q45" s="2">
        <f t="shared" si="46"/>
        <v>3.2250242483026187E-2</v>
      </c>
      <c r="R45" s="2">
        <f t="shared" si="46"/>
        <v>0</v>
      </c>
      <c r="S45" s="2">
        <f t="shared" si="46"/>
        <v>0</v>
      </c>
      <c r="T45" s="2">
        <f t="shared" si="46"/>
        <v>0</v>
      </c>
      <c r="U45" s="2">
        <f t="shared" si="46"/>
        <v>0</v>
      </c>
      <c r="V45" s="2">
        <f t="shared" ref="V45:Y45" si="47">IFERROR(V27/V31, "N/A")</f>
        <v>0</v>
      </c>
      <c r="W45" s="2">
        <f t="shared" si="47"/>
        <v>0</v>
      </c>
      <c r="X45" s="2">
        <f t="shared" si="47"/>
        <v>0</v>
      </c>
      <c r="Y45" s="2">
        <f t="shared" si="47"/>
        <v>0</v>
      </c>
    </row>
    <row r="46" spans="1:25" x14ac:dyDescent="0.3">
      <c r="A46" s="85" t="s">
        <v>270</v>
      </c>
      <c r="B46" s="2">
        <f>IFERROR(B29/B31,"N/A")</f>
        <v>5.0180387012135126E-2</v>
      </c>
      <c r="C46" s="2">
        <f t="shared" ref="C46:J46" si="48">IFERROR(C29/C31,"N/A")</f>
        <v>5.6840077071290941E-2</v>
      </c>
      <c r="D46" s="2">
        <f t="shared" si="48"/>
        <v>5.1433915211970077E-2</v>
      </c>
      <c r="E46" s="2">
        <f t="shared" si="48"/>
        <v>5.3458068827263616E-2</v>
      </c>
      <c r="F46" s="2">
        <f t="shared" si="48"/>
        <v>5.7071182188773911E-2</v>
      </c>
      <c r="G46" s="2">
        <f t="shared" si="48"/>
        <v>6.3502043382584097E-2</v>
      </c>
      <c r="H46" s="2">
        <f t="shared" si="48"/>
        <v>6.1884669479606191E-2</v>
      </c>
      <c r="I46" s="2">
        <f t="shared" si="48"/>
        <v>6.3932448733413749E-2</v>
      </c>
      <c r="J46" s="2">
        <f t="shared" si="48"/>
        <v>6.2193126022913256E-2</v>
      </c>
      <c r="K46" s="2">
        <f>IFERROR(K29/K31,"N/A")</f>
        <v>6.6685037200330671E-2</v>
      </c>
      <c r="L46" s="2">
        <f t="shared" ref="L46:O46" si="49">IFERROR(L29/L31,"N/A")</f>
        <v>6.2629937629937626E-2</v>
      </c>
      <c r="M46" s="2">
        <f t="shared" si="49"/>
        <v>6.6449688093300791E-2</v>
      </c>
      <c r="N46" s="2">
        <f t="shared" si="49"/>
        <v>6.5361077111383115E-2</v>
      </c>
      <c r="O46" s="2">
        <f t="shared" si="49"/>
        <v>6.7689310932554175E-2</v>
      </c>
      <c r="P46" s="2">
        <f t="shared" ref="P46:U46" si="50">IFERROR(P29/P31,"N/A")</f>
        <v>5.8579234972677599E-2</v>
      </c>
      <c r="Q46" s="2">
        <f t="shared" si="50"/>
        <v>6.4742967992240538E-2</v>
      </c>
      <c r="R46" s="2">
        <f t="shared" si="50"/>
        <v>0.10540915395284327</v>
      </c>
      <c r="S46" s="2">
        <f t="shared" si="50"/>
        <v>0.11395617070357555</v>
      </c>
      <c r="T46" s="2">
        <f t="shared" si="50"/>
        <v>0.11224711768544703</v>
      </c>
      <c r="U46" s="2">
        <f t="shared" si="50"/>
        <v>0.12129963898916968</v>
      </c>
      <c r="V46" s="2">
        <f t="shared" ref="V46:Y46" si="51">IFERROR(V29/V31,"N/A")</f>
        <v>0.27733485193621865</v>
      </c>
      <c r="W46" s="2">
        <f t="shared" si="51"/>
        <v>0.2723735408560311</v>
      </c>
      <c r="X46" s="2">
        <f t="shared" si="51"/>
        <v>0.23739837398373984</v>
      </c>
      <c r="Y46" s="2">
        <f t="shared" si="51"/>
        <v>0.23492605233219568</v>
      </c>
    </row>
    <row r="47" spans="1:25" x14ac:dyDescent="0.3">
      <c r="A47" s="14" t="s">
        <v>269</v>
      </c>
      <c r="B47" s="78">
        <f>IFERROR(SUM(B36:B46)-B41, "N/A")</f>
        <v>1</v>
      </c>
      <c r="C47" s="78">
        <f t="shared" ref="C47:J47" si="52">IFERROR(SUM(C36:C46)-C41, "N/A")</f>
        <v>0.99999999999999989</v>
      </c>
      <c r="D47" s="78">
        <f t="shared" si="52"/>
        <v>0.99999999999999989</v>
      </c>
      <c r="E47" s="78">
        <f t="shared" si="52"/>
        <v>1</v>
      </c>
      <c r="F47" s="78">
        <f t="shared" si="52"/>
        <v>1</v>
      </c>
      <c r="G47" s="78">
        <f t="shared" si="52"/>
        <v>1</v>
      </c>
      <c r="H47" s="78">
        <f t="shared" si="52"/>
        <v>1</v>
      </c>
      <c r="I47" s="78">
        <f t="shared" si="52"/>
        <v>0.99999999999999989</v>
      </c>
      <c r="J47" s="78">
        <f t="shared" si="52"/>
        <v>0.99999999999999978</v>
      </c>
      <c r="K47" s="78">
        <f>IFERROR(SUM(K36:K46)-K41, "N/A")</f>
        <v>1.0000000000000004</v>
      </c>
      <c r="L47" s="78">
        <f t="shared" ref="L47:O47" si="53">IFERROR(SUM(L36:L46)-L41, "N/A")</f>
        <v>1</v>
      </c>
      <c r="M47" s="78">
        <f t="shared" si="53"/>
        <v>1.0000000000000002</v>
      </c>
      <c r="N47" s="78">
        <f t="shared" si="53"/>
        <v>1</v>
      </c>
      <c r="O47" s="78">
        <f t="shared" si="53"/>
        <v>1.0000000000000002</v>
      </c>
      <c r="P47" s="78">
        <f t="shared" ref="P47:U47" si="54">IFERROR(SUM(P36:P46)-P41, "N/A")</f>
        <v>1.0000000000000002</v>
      </c>
      <c r="Q47" s="78">
        <f t="shared" si="54"/>
        <v>0.99999999999999978</v>
      </c>
      <c r="R47" s="78">
        <f t="shared" si="54"/>
        <v>0.99999999999999989</v>
      </c>
      <c r="S47" s="78">
        <f t="shared" si="54"/>
        <v>1.0000000000000002</v>
      </c>
      <c r="T47" s="78">
        <f t="shared" si="54"/>
        <v>0.99999999999999978</v>
      </c>
      <c r="U47" s="78">
        <f t="shared" si="54"/>
        <v>0.99999999999999978</v>
      </c>
      <c r="V47" s="78">
        <f t="shared" ref="V47:Y47" si="55">IFERROR(SUM(V36:V46)-V41, "N/A")</f>
        <v>0.99999999999999978</v>
      </c>
      <c r="W47" s="78">
        <f t="shared" si="55"/>
        <v>0.99999999999999978</v>
      </c>
      <c r="X47" s="78">
        <f t="shared" si="55"/>
        <v>0.99999999999999989</v>
      </c>
      <c r="Y47" s="78">
        <f t="shared" si="55"/>
        <v>0.99999999999999989</v>
      </c>
    </row>
    <row r="48" spans="1:25" x14ac:dyDescent="0.3">
      <c r="A48" s="8" t="str">
        <f>("Total Operating Costs " &amp; 'Revenue Analysis Reported'!$A$41)</f>
        <v>Total Operating Costs Per ASM:</v>
      </c>
      <c r="B48" s="10"/>
      <c r="C48" s="10"/>
      <c r="D48" s="10"/>
      <c r="E48" s="10"/>
      <c r="F48" s="10"/>
      <c r="G48" s="10"/>
      <c r="H48" s="10"/>
      <c r="I48" s="10"/>
      <c r="J48" s="10"/>
      <c r="K48" s="10"/>
      <c r="L48" s="10"/>
      <c r="M48" s="10"/>
      <c r="N48" s="10"/>
      <c r="O48" s="10"/>
      <c r="P48" s="10"/>
      <c r="Q48" s="10"/>
      <c r="R48" s="10"/>
      <c r="S48" s="10"/>
      <c r="T48" s="10"/>
      <c r="U48" s="10"/>
      <c r="V48" s="10"/>
      <c r="W48" s="10"/>
      <c r="X48" s="10"/>
      <c r="Y48" s="10"/>
    </row>
    <row r="49" spans="1:25" x14ac:dyDescent="0.3">
      <c r="A49" s="85" t="str">
        <f>("Employee Costs per " &amp; 'Annual Operational Data'!$A$33  &amp; " [cents]")</f>
        <v>Employee Costs per ASMs [cents]</v>
      </c>
      <c r="B49" s="4">
        <f>IFERROR(B9*100/'Interim Operational Data'!B33, "N/A")</f>
        <v>3.0979001908917372</v>
      </c>
      <c r="C49" s="4">
        <f>IFERROR(C9*100/'Interim Operational Data'!C33, "N/A")</f>
        <v>2.8213788992648521</v>
      </c>
      <c r="D49" s="4">
        <f>IFERROR(D9*100/'Interim Operational Data'!D33, "N/A")</f>
        <v>2.5408965370724452</v>
      </c>
      <c r="E49" s="4">
        <f>IFERROR(E9*100/'Interim Operational Data'!E33, "N/A")</f>
        <v>3.1268217711590438</v>
      </c>
      <c r="F49" s="4">
        <f>IFERROR(F9*100/'Interim Operational Data'!F33, "N/A")</f>
        <v>3.0655977411385065</v>
      </c>
      <c r="G49" s="4">
        <f>IFERROR(G9*100/'Interim Operational Data'!G33, "N/A")</f>
        <v>2.7345148585750088</v>
      </c>
      <c r="H49" s="4">
        <f>IFERROR(H9*100/'Interim Operational Data'!H33, "N/A")</f>
        <v>2.3121793520275493</v>
      </c>
      <c r="I49" s="4">
        <f>IFERROR(I9*100/'Interim Operational Data'!I33, "N/A")</f>
        <v>2.8654203069123172</v>
      </c>
      <c r="J49" s="4">
        <f>IFERROR(J9*100/'Interim Operational Data'!J33, "N/A")</f>
        <v>2.8129640953961736</v>
      </c>
      <c r="K49" s="4">
        <f>IFERROR(K9*100/'Interim Operational Data'!K33, "N/A")</f>
        <v>2.6146626178175651</v>
      </c>
      <c r="L49" s="4">
        <f>IFERROR(L9*100/'Interim Operational Data'!L33, "N/A")</f>
        <v>2.1320450885668278</v>
      </c>
      <c r="M49" s="4">
        <f>IFERROR(M9*100/'Interim Operational Data'!M33, "N/A")</f>
        <v>2.9019056673969659</v>
      </c>
      <c r="N49" s="4">
        <f>IFERROR(N9*100/'Interim Operational Data'!N33, "N/A")</f>
        <v>2.8155417906845788</v>
      </c>
      <c r="O49" s="4">
        <f>IFERROR(O9*100/'Interim Operational Data'!O33, "N/A")</f>
        <v>2.6073563386996224</v>
      </c>
      <c r="P49" s="4">
        <f>IFERROR(P9*100/'Interim Operational Data'!P33, "N/A")</f>
        <v>2.2422065968554787</v>
      </c>
      <c r="Q49" s="4">
        <f>IFERROR(Q9*100/'Interim Operational Data'!Q33, "N/A")</f>
        <v>2.8088131885303538</v>
      </c>
      <c r="R49" s="4">
        <f>IFERROR(R9*100/'Interim Operational Data'!R33, "N/A")</f>
        <v>3.0711869618696186</v>
      </c>
      <c r="S49" s="4">
        <f>IFERROR(S9*100/'Interim Operational Data'!S33, "N/A")</f>
        <v>2.7982801863131495</v>
      </c>
      <c r="T49" s="4">
        <f>IFERROR(T9*100/'Interim Operational Data'!T33, "N/A")</f>
        <v>2.4278275872693102</v>
      </c>
      <c r="U49" s="4">
        <f>IFERROR(U9*100/'Interim Operational Data'!U33, "N/A")</f>
        <v>3.011615148878211</v>
      </c>
      <c r="V49" s="4">
        <f>IFERROR(V9*100/'Interim Operational Data'!V33, "N/A")</f>
        <v>1.5907447577729574</v>
      </c>
      <c r="W49" s="4">
        <f>IFERROR(W9*100/'Interim Operational Data'!W33, "N/A")</f>
        <v>12.75078020508248</v>
      </c>
      <c r="X49" s="4">
        <f>IFERROR(X9*100/'Interim Operational Data'!X33, "N/A")</f>
        <v>6.034627668515717</v>
      </c>
      <c r="Y49" s="4">
        <f>IFERROR(Y9*100/'Interim Operational Data'!Y33, "N/A")</f>
        <v>6.1166666666666663</v>
      </c>
    </row>
    <row r="50" spans="1:25" x14ac:dyDescent="0.3">
      <c r="A50" s="85" t="s">
        <v>0</v>
      </c>
      <c r="B50" s="2"/>
      <c r="C50" s="2" t="str">
        <f ca="1">IFERROR(IF(Inputs!$E$14 = "Semi-annual",(C49/OFFSET(C49,0,-2,,))-1,(C49/OFFSET(C49,0,-4,,))-1),"")</f>
        <v/>
      </c>
      <c r="D50" s="2" t="str">
        <f ca="1">IFERROR(IF(Inputs!$E$14 = "Semi-annual",(D49/OFFSET(D49,0,-2,,))-1,(D49/OFFSET(D49,0,-4,,))-1),"")</f>
        <v/>
      </c>
      <c r="E50" s="2" t="str">
        <f ca="1">IFERROR(IF(Inputs!$E$14 = "Semi-annual",(E49/OFFSET(E49,0,-2,,))-1,(E49/OFFSET(E49,0,-4,,))-1),"")</f>
        <v/>
      </c>
      <c r="F50" s="2">
        <f ca="1">IFERROR(IF(Inputs!$E$14 = "Semi-annual",(F49/OFFSET(F49,0,-2,,))-1,(F49/OFFSET(F49,0,-4,,))-1),"")</f>
        <v>-1.0427208032138813E-2</v>
      </c>
      <c r="G50" s="2">
        <f ca="1">IFERROR(IF(Inputs!$E$14 = "Semi-annual",(G49/OFFSET(G49,0,-2,,))-1,(G49/OFFSET(G49,0,-4,,))-1),"")</f>
        <v>-3.0787796957181812E-2</v>
      </c>
      <c r="H50" s="2">
        <f ca="1">IFERROR(IF(Inputs!$E$14 = "Semi-annual",(H49/OFFSET(H49,0,-2,,))-1,(H49/OFFSET(H49,0,-4,,))-1),"")</f>
        <v>-9.0014363712903389E-2</v>
      </c>
      <c r="I50" s="2">
        <f ca="1">IFERROR(IF(Inputs!$E$14 = "Semi-annual",(I49/OFFSET(I49,0,-2,,))-1,(I49/OFFSET(I49,0,-4,,))-1),"")</f>
        <v>-8.3599732692737017E-2</v>
      </c>
      <c r="J50" s="2">
        <f ca="1">IFERROR(IF(Inputs!$E$14 = "Semi-annual",(J49/OFFSET(J49,0,-2,,))-1,(J49/OFFSET(J49,0,-4,,))-1),"")</f>
        <v>-8.240926144749483E-2</v>
      </c>
      <c r="K50" s="2">
        <f ca="1">IFERROR(IF(Inputs!$E$14 = "Semi-annual",(K49/OFFSET(K49,0,-2,,))-1,(K49/OFFSET(K49,0,-4,,))-1),"")</f>
        <v>-4.3829434819710689E-2</v>
      </c>
      <c r="L50" s="2">
        <f ca="1">IFERROR(IF(Inputs!$E$14 = "Semi-annual",(L49/OFFSET(L49,0,-2,,))-1,(L49/OFFSET(L49,0,-4,,))-1),"")</f>
        <v>-7.7906700145367935E-2</v>
      </c>
      <c r="M50" s="2">
        <f ca="1">IFERROR(IF(Inputs!$E$14 = "Semi-annual",(M49/OFFSET(M49,0,-2,,))-1,(M49/OFFSET(M49,0,-4,,))-1),"")</f>
        <v>1.2732987337541468E-2</v>
      </c>
      <c r="N50" s="2">
        <f ca="1">IFERROR(IF(Inputs!$E$14 = "Semi-annual",(N49/OFFSET(N49,0,-2,,))-1,(N49/OFFSET(N49,0,-4,,))-1),"")</f>
        <v>9.1636266976324876E-4</v>
      </c>
      <c r="O50" s="2">
        <f ca="1">IFERROR(IF(Inputs!$E$14 = "Semi-annual",(O49/OFFSET(O49,0,-2,,))-1,(O49/OFFSET(O49,0,-4,,))-1),"")</f>
        <v>-2.7943487118201604E-3</v>
      </c>
      <c r="P50" s="2">
        <f ca="1">IFERROR(IF(Inputs!$E$14 = "Semi-annual",(P49/OFFSET(P49,0,-2,,))-1,(P49/OFFSET(P49,0,-4,,))-1),"")</f>
        <v>5.1669408343846035E-2</v>
      </c>
      <c r="Q50" s="2">
        <f ca="1">IFERROR(IF(Inputs!$E$14 = "Semi-annual",(Q49/OFFSET(Q49,0,-2,,))-1,(Q49/OFFSET(Q49,0,-4,,))-1),"")</f>
        <v>-3.2079774305729503E-2</v>
      </c>
      <c r="R50" s="2">
        <f ca="1">IFERROR(IF(Inputs!$E$14 = "Semi-annual",(R49/OFFSET(R49,0,-2,,))-1,(R49/OFFSET(R49,0,-4,,))-1),"")</f>
        <v>9.0797860657177987E-2</v>
      </c>
      <c r="S50" s="2">
        <f ca="1">IFERROR(IF(Inputs!$E$14 = "Semi-annual",(S49/OFFSET(S49,0,-2,,))-1,(S49/OFFSET(S49,0,-4,,))-1),"")</f>
        <v>7.3225068925081072E-2</v>
      </c>
      <c r="T50" s="2">
        <f ca="1">IFERROR(IF(Inputs!$E$14 = "Semi-annual",(T49/OFFSET(T49,0,-2,,))-1,(T49/OFFSET(T49,0,-4,,))-1),"")</f>
        <v>8.2784963113635701E-2</v>
      </c>
      <c r="U50" s="2">
        <f ca="1">IFERROR(IF(Inputs!$E$14 = "Semi-annual",(U49/OFFSET(U49,0,-2,,))-1,(U49/OFFSET(U49,0,-4,,))-1),"")</f>
        <v>7.2202010862092436E-2</v>
      </c>
      <c r="V50" s="2">
        <f ca="1">IFERROR(IF(Inputs!$E$14 = "Semi-annual",(V49/OFFSET(V49,0,-2,,))-1,(V49/OFFSET(V49,0,-4,,))-1),"")</f>
        <v>-0.48204235771938342</v>
      </c>
      <c r="W50" s="2">
        <f ca="1">IFERROR(IF(Inputs!$E$14 = "Semi-annual",(W49/OFFSET(W49,0,-2,,))-1,(W49/OFFSET(W49,0,-4,,))-1),"")</f>
        <v>3.556648854338694</v>
      </c>
      <c r="X50" s="2">
        <f ca="1">IFERROR(IF(Inputs!$E$14 = "Semi-annual",(X49/OFFSET(X49,0,-2,,))-1,(X49/OFFSET(X49,0,-4,,))-1),"")</f>
        <v>1.4856079979316577</v>
      </c>
      <c r="Y50" s="2">
        <f ca="1">IFERROR(IF(Inputs!$E$14 = "Semi-annual",(Y49/OFFSET(Y49,0,-2,,))-1,(Y49/OFFSET(Y49,0,-4,,))-1),"")</f>
        <v>1.0310253350083753</v>
      </c>
    </row>
    <row r="51" spans="1:25" x14ac:dyDescent="0.3">
      <c r="A51" s="85" t="str">
        <f>("Fuel and oil per " &amp; 'Annual Operational Data'!$A$33 &amp; " [cents]")</f>
        <v>Fuel and oil per ASMs [cents]</v>
      </c>
      <c r="B51" s="4">
        <f>IFERROR(B11*100/'Interim Operational Data'!B33, "N/A")</f>
        <v>3.2287973820561766</v>
      </c>
      <c r="C51" s="4">
        <f>IFERROR(C11*100/'Interim Operational Data'!C33, "N/A")</f>
        <v>3.2187562090204649</v>
      </c>
      <c r="D51" s="4">
        <f>IFERROR(D11*100/'Interim Operational Data'!D33, "N/A")</f>
        <v>2.9615466326747399</v>
      </c>
      <c r="E51" s="4">
        <f>IFERROR(E11*100/'Interim Operational Data'!E33, "N/A")</f>
        <v>2.7929408023742646</v>
      </c>
      <c r="F51" s="4">
        <f>IFERROR(F11*100/'Interim Operational Data'!F33, "N/A")</f>
        <v>2.2487772903746279</v>
      </c>
      <c r="G51" s="4">
        <f>IFERROR(G11*100/'Interim Operational Data'!G33, "N/A")</f>
        <v>2.358575008950949</v>
      </c>
      <c r="H51" s="4">
        <f>IFERROR(H11*100/'Interim Operational Data'!H33, "N/A")</f>
        <v>2.487876871178579</v>
      </c>
      <c r="I51" s="4">
        <f>IFERROR(I11*100/'Interim Operational Data'!I33, "N/A")</f>
        <v>2.7069847449187452</v>
      </c>
      <c r="J51" s="4">
        <f>IFERROR(J11*100/'Interim Operational Data'!J33, "N/A")</f>
        <v>2.8784834454442212</v>
      </c>
      <c r="K51" s="4">
        <f>IFERROR(K11*100/'Interim Operational Data'!K33, "N/A")</f>
        <v>2.7645226170288284</v>
      </c>
      <c r="L51" s="4">
        <f>IFERROR(L11*100/'Interim Operational Data'!L33, "N/A")</f>
        <v>3.030595813204509</v>
      </c>
      <c r="M51" s="4">
        <f>IFERROR(M11*100/'Interim Operational Data'!M33, "N/A")</f>
        <v>3.038320036377165</v>
      </c>
      <c r="N51" s="4">
        <f>IFERROR(N11*100/'Interim Operational Data'!N33, "N/A")</f>
        <v>3.3183171104496823</v>
      </c>
      <c r="O51" s="4">
        <f>IFERROR(O11*100/'Interim Operational Data'!O33, "N/A")</f>
        <v>3.5351498038065201</v>
      </c>
      <c r="P51" s="4">
        <f>IFERROR(P11*100/'Interim Operational Data'!P33, "N/A")</f>
        <v>4.1373691040226941</v>
      </c>
      <c r="Q51" s="4">
        <f>IFERROR(Q11*100/'Interim Operational Data'!Q33, "N/A")</f>
        <v>3.1604031564966011</v>
      </c>
      <c r="R51" s="4">
        <f>IFERROR(R11*100/'Interim Operational Data'!R33, "N/A")</f>
        <v>3.3863776137761379</v>
      </c>
      <c r="S51" s="4">
        <f>IFERROR(S11*100/'Interim Operational Data'!S33, "N/A")</f>
        <v>3.5506986743102829</v>
      </c>
      <c r="T51" s="4">
        <f>IFERROR(T11*100/'Interim Operational Data'!T33, "N/A")</f>
        <v>3.3675324275194871</v>
      </c>
      <c r="U51" s="4">
        <f>IFERROR(U11*100/'Interim Operational Data'!U33, "N/A")</f>
        <v>3.1629525935454579</v>
      </c>
      <c r="V51" s="4">
        <f>IFERROR(V11*100/'Interim Operational Data'!V33, "N/A")</f>
        <v>0.52741270043809285</v>
      </c>
      <c r="W51" s="4">
        <f>IFERROR(W11*100/'Interim Operational Data'!W33, "N/A")</f>
        <v>7.8020508247882301</v>
      </c>
      <c r="X51" s="4">
        <f>IFERROR(X11*100/'Interim Operational Data'!X33, "N/A")</f>
        <v>3.1433854429315851</v>
      </c>
      <c r="Y51" s="4">
        <f>IFERROR(Y11*100/'Interim Operational Data'!Y33, "N/A")</f>
        <v>3.3333333333333335</v>
      </c>
    </row>
    <row r="52" spans="1:25" x14ac:dyDescent="0.3">
      <c r="A52" s="85" t="s">
        <v>0</v>
      </c>
      <c r="B52" s="2"/>
      <c r="C52" s="2" t="str">
        <f ca="1">IFERROR(IF(Inputs!$E$14 = "Semi-annual",(C51/OFFSET(C51,0,-2,,))-1,(C51/OFFSET(C51,0,-4,,))-1),"")</f>
        <v/>
      </c>
      <c r="D52" s="2" t="str">
        <f ca="1">IFERROR(IF(Inputs!$E$14 = "Semi-annual",(D51/OFFSET(D51,0,-2,,))-1,(D51/OFFSET(D51,0,-4,,))-1),"")</f>
        <v/>
      </c>
      <c r="E52" s="2" t="str">
        <f ca="1">IFERROR(IF(Inputs!$E$14 = "Semi-annual",(E51/OFFSET(E51,0,-2,,))-1,(E51/OFFSET(E51,0,-4,,))-1),"")</f>
        <v/>
      </c>
      <c r="F52" s="2">
        <f ca="1">IFERROR(IF(Inputs!$E$14 = "Semi-annual",(F51/OFFSET(F51,0,-2,,))-1,(F51/OFFSET(F51,0,-4,,))-1),"")</f>
        <v>-0.30352480373279045</v>
      </c>
      <c r="G52" s="2">
        <f ca="1">IFERROR(IF(Inputs!$E$14 = "Semi-annual",(G51/OFFSET(G51,0,-2,,))-1,(G51/OFFSET(G51,0,-4,,))-1),"")</f>
        <v>-0.26724024567591809</v>
      </c>
      <c r="H52" s="2">
        <f ca="1">IFERROR(IF(Inputs!$E$14 = "Semi-annual",(H51/OFFSET(H51,0,-2,,))-1,(H51/OFFSET(H51,0,-4,,))-1),"")</f>
        <v>-0.15993999765871081</v>
      </c>
      <c r="I52" s="2">
        <f ca="1">IFERROR(IF(Inputs!$E$14 = "Semi-annual",(I51/OFFSET(I51,0,-2,,))-1,(I51/OFFSET(I51,0,-4,,))-1),"")</f>
        <v>-3.077618307643637E-2</v>
      </c>
      <c r="J52" s="2">
        <f ca="1">IFERROR(IF(Inputs!$E$14 = "Semi-annual",(J51/OFFSET(J51,0,-2,,))-1,(J51/OFFSET(J51,0,-4,,))-1),"")</f>
        <v>0.28002157339675438</v>
      </c>
      <c r="K52" s="2">
        <f ca="1">IFERROR(IF(Inputs!$E$14 = "Semi-annual",(K51/OFFSET(K51,0,-2,,))-1,(K51/OFFSET(K51,0,-4,,))-1),"")</f>
        <v>0.17211562343248832</v>
      </c>
      <c r="L52" s="2">
        <f ca="1">IFERROR(IF(Inputs!$E$14 = "Semi-annual",(L51/OFFSET(L51,0,-2,,))-1,(L51/OFFSET(L51,0,-4,,))-1),"")</f>
        <v>0.21814541881601568</v>
      </c>
      <c r="M52" s="2">
        <f ca="1">IFERROR(IF(Inputs!$E$14 = "Semi-annual",(M51/OFFSET(M51,0,-2,,))-1,(M51/OFFSET(M51,0,-4,,))-1),"")</f>
        <v>0.12240013250180515</v>
      </c>
      <c r="N52" s="2">
        <f ca="1">IFERROR(IF(Inputs!$E$14 = "Semi-annual",(N51/OFFSET(N51,0,-2,,))-1,(N51/OFFSET(N51,0,-4,,))-1),"")</f>
        <v>0.15280048447094119</v>
      </c>
      <c r="O52" s="2">
        <f ca="1">IFERROR(IF(Inputs!$E$14 = "Semi-annual",(O51/OFFSET(O51,0,-2,,))-1,(O51/OFFSET(O51,0,-4,,))-1),"")</f>
        <v>0.2787559711144354</v>
      </c>
      <c r="P52" s="2">
        <f ca="1">IFERROR(IF(Inputs!$E$14 = "Semi-annual",(P51/OFFSET(P51,0,-2,,))-1,(P51/OFFSET(P51,0,-4,,))-1),"")</f>
        <v>0.3651999009554161</v>
      </c>
      <c r="Q52" s="2">
        <f ca="1">IFERROR(IF(Inputs!$E$14 = "Semi-annual",(Q51/OFFSET(Q51,0,-2,,))-1,(Q51/OFFSET(Q51,0,-4,,))-1),"")</f>
        <v>4.0181125970194298E-2</v>
      </c>
      <c r="R52" s="2">
        <f ca="1">IFERROR(IF(Inputs!$E$14 = "Semi-annual",(R51/OFFSET(R51,0,-2,,))-1,(R51/OFFSET(R51,0,-4,,))-1),"")</f>
        <v>2.0510548287301145E-2</v>
      </c>
      <c r="S52" s="2">
        <f ca="1">IFERROR(IF(Inputs!$E$14 = "Semi-annual",(S51/OFFSET(S51,0,-2,,))-1,(S51/OFFSET(S51,0,-4,,))-1),"")</f>
        <v>4.3983625494512513E-3</v>
      </c>
      <c r="T52" s="2">
        <f ca="1">IFERROR(IF(Inputs!$E$14 = "Semi-annual",(T51/OFFSET(T51,0,-2,,))-1,(T51/OFFSET(T51,0,-4,,))-1),"")</f>
        <v>-0.18606913165052341</v>
      </c>
      <c r="U52" s="2">
        <f ca="1">IFERROR(IF(Inputs!$E$14 = "Semi-annual",(U51/OFFSET(U51,0,-2,,))-1,(U51/OFFSET(U51,0,-4,,))-1),"")</f>
        <v>8.0668095892000302E-4</v>
      </c>
      <c r="V52" s="2">
        <f ca="1">IFERROR(IF(Inputs!$E$14 = "Semi-annual",(V51/OFFSET(V51,0,-2,,))-1,(V51/OFFSET(V51,0,-4,,))-1),"")</f>
        <v>-0.84425461050400197</v>
      </c>
      <c r="W52" s="2">
        <f ca="1">IFERROR(IF(Inputs!$E$14 = "Semi-annual",(W51/OFFSET(W51,0,-2,,))-1,(W51/OFFSET(W51,0,-4,,))-1),"")</f>
        <v>1.197328340260742</v>
      </c>
      <c r="X52" s="2">
        <f ca="1">IFERROR(IF(Inputs!$E$14 = "Semi-annual",(X51/OFFSET(X51,0,-2,,))-1,(X51/OFFSET(X51,0,-4,,))-1),"")</f>
        <v>-6.6561195597159561E-2</v>
      </c>
      <c r="Y52" s="2">
        <f ca="1">IFERROR(IF(Inputs!$E$14 = "Semi-annual",(Y51/OFFSET(Y51,0,-2,,))-1,(Y51/OFFSET(Y51,0,-4,,))-1),"")</f>
        <v>5.3867623604465731E-2</v>
      </c>
    </row>
    <row r="53" spans="1:25" x14ac:dyDescent="0.3">
      <c r="A53" s="85" t="str">
        <f>("Maintenance, materials &amp; engineering per " &amp; 'Annual Operational Data'!$A$33 &amp;" [cents]")</f>
        <v>Maintenance, materials &amp; engineering per ASMs [cents]</v>
      </c>
      <c r="B53" s="4">
        <f>IFERROR(B13*100/'Interim Operational Data'!B33, "N/A")</f>
        <v>1.0253613307881102</v>
      </c>
      <c r="C53" s="4">
        <f>IFERROR(C13*100/'Interim Operational Data'!C33, "N/A")</f>
        <v>0.94377111066958075</v>
      </c>
      <c r="D53" s="4">
        <f>IFERROR(D13*100/'Interim Operational Data'!D33, "N/A")</f>
        <v>0.81580624601657104</v>
      </c>
      <c r="E53" s="4">
        <f>IFERROR(E13*100/'Interim Operational Data'!E33, "N/A")</f>
        <v>1.0758386771953998</v>
      </c>
      <c r="F53" s="4">
        <f>IFERROR(F13*100/'Interim Operational Data'!F33, "N/A")</f>
        <v>1.1143044420914636</v>
      </c>
      <c r="G53" s="4">
        <f>IFERROR(G13*100/'Interim Operational Data'!G33, "N/A")</f>
        <v>1.0696383816684569</v>
      </c>
      <c r="H53" s="4">
        <f>IFERROR(H13*100/'Interim Operational Data'!H33, "N/A")</f>
        <v>0.79766673694567436</v>
      </c>
      <c r="I53" s="4">
        <f>IFERROR(I13*100/'Interim Operational Data'!I33, "N/A")</f>
        <v>0.87365895613598299</v>
      </c>
      <c r="J53" s="4">
        <f>IFERROR(J13*100/'Interim Operational Data'!J33, "N/A")</f>
        <v>0.99589412073032235</v>
      </c>
      <c r="K53" s="4">
        <f>IFERROR(K13*100/'Interim Operational Data'!K33, "N/A")</f>
        <v>0.89127262688803877</v>
      </c>
      <c r="L53" s="4">
        <f>IFERROR(L13*100/'Interim Operational Data'!L33, "N/A")</f>
        <v>0.77616747181964574</v>
      </c>
      <c r="M53" s="4">
        <f>IFERROR(M13*100/'Interim Operational Data'!M33, "N/A")</f>
        <v>1.0045058079451035</v>
      </c>
      <c r="N53" s="4">
        <f>IFERROR(N13*100/'Interim Operational Data'!N33, "N/A")</f>
        <v>1.0296838548789318</v>
      </c>
      <c r="O53" s="4">
        <f>IFERROR(O13*100/'Interim Operational Data'!O33, "N/A")</f>
        <v>0.80677692617991126</v>
      </c>
      <c r="P53" s="4">
        <f>IFERROR(P13*100/'Interim Operational Data'!P33, "N/A")</f>
        <v>0.83592358994477467</v>
      </c>
      <c r="Q53" s="4">
        <f>IFERROR(Q13*100/'Interim Operational Data'!Q33, "N/A")</f>
        <v>0.97663879990624269</v>
      </c>
      <c r="R53" s="4">
        <f>IFERROR(R13*100/'Interim Operational Data'!R33, "N/A")</f>
        <v>0.94172816728167286</v>
      </c>
      <c r="S53" s="4">
        <f>IFERROR(S13*100/'Interim Operational Data'!S33, "N/A")</f>
        <v>0.91365102113937657</v>
      </c>
      <c r="T53" s="4">
        <f>IFERROR(T13*100/'Interim Operational Data'!T33, "N/A")</f>
        <v>0.78257386696244258</v>
      </c>
      <c r="U53" s="4">
        <f>IFERROR(U13*100/'Interim Operational Data'!U33, "N/A")</f>
        <v>1.0215277515039158</v>
      </c>
      <c r="V53" s="4">
        <f>IFERROR(V13*100/'Interim Operational Data'!V33, "N/A")</f>
        <v>0.76985240951044187</v>
      </c>
      <c r="W53" s="4">
        <f>IFERROR(W13*100/'Interim Operational Data'!W33, "N/A")</f>
        <v>2.0062416406598307</v>
      </c>
      <c r="X53" s="4">
        <f>IFERROR(X13*100/'Interim Operational Data'!X33, "N/A")</f>
        <v>3.1097663472852579</v>
      </c>
      <c r="Y53" s="4">
        <f>IFERROR(Y13*100/'Interim Operational Data'!Y33, "N/A")</f>
        <v>2.5</v>
      </c>
    </row>
    <row r="54" spans="1:25" x14ac:dyDescent="0.3">
      <c r="A54" s="85" t="s">
        <v>0</v>
      </c>
      <c r="B54" s="2"/>
      <c r="C54" s="2" t="str">
        <f ca="1">IFERROR(IF(Inputs!$E$14 = "Semi-annual",(C53/OFFSET(C53,0,-2,,))-1,(C53/OFFSET(C53,0,-4,,))-1),"")</f>
        <v/>
      </c>
      <c r="D54" s="2" t="str">
        <f ca="1">IFERROR(IF(Inputs!$E$14 = "Semi-annual",(D53/OFFSET(D53,0,-2,,))-1,(D53/OFFSET(D53,0,-4,,))-1),"")</f>
        <v/>
      </c>
      <c r="E54" s="2" t="str">
        <f ca="1">IFERROR(IF(Inputs!$E$14 = "Semi-annual",(E53/OFFSET(E53,0,-2,,))-1,(E53/OFFSET(E53,0,-4,,))-1),"")</f>
        <v/>
      </c>
      <c r="F54" s="2">
        <f ca="1">IFERROR(IF(Inputs!$E$14 = "Semi-annual",(F53/OFFSET(F53,0,-2,,))-1,(F53/OFFSET(F53,0,-4,,))-1),"")</f>
        <v>8.6743188603563004E-2</v>
      </c>
      <c r="G54" s="2">
        <f ca="1">IFERROR(IF(Inputs!$E$14 = "Semi-annual",(G53/OFFSET(G53,0,-2,,))-1,(G53/OFFSET(G53,0,-4,,))-1),"")</f>
        <v>0.13336631051312509</v>
      </c>
      <c r="H54" s="2">
        <f ca="1">IFERROR(IF(Inputs!$E$14 = "Semi-annual",(H53/OFFSET(H53,0,-2,,))-1,(H53/OFFSET(H53,0,-4,,))-1),"")</f>
        <v>-2.2235070103310051E-2</v>
      </c>
      <c r="I54" s="2">
        <f ca="1">IFERROR(IF(Inputs!$E$14 = "Semi-annual",(I53/OFFSET(I53,0,-2,,))-1,(I53/OFFSET(I53,0,-4,,))-1),"")</f>
        <v>-0.18792754466355355</v>
      </c>
      <c r="J54" s="2">
        <f ca="1">IFERROR(IF(Inputs!$E$14 = "Semi-annual",(J53/OFFSET(J53,0,-2,,))-1,(J53/OFFSET(J53,0,-4,,))-1),"")</f>
        <v>-0.10626388703871104</v>
      </c>
      <c r="K54" s="2">
        <f ca="1">IFERROR(IF(Inputs!$E$14 = "Semi-annual",(K53/OFFSET(K53,0,-2,,))-1,(K53/OFFSET(K53,0,-4,,))-1),"")</f>
        <v>-0.16675332321396075</v>
      </c>
      <c r="L54" s="2">
        <f ca="1">IFERROR(IF(Inputs!$E$14 = "Semi-annual",(L53/OFFSET(L53,0,-2,,))-1,(L53/OFFSET(L53,0,-4,,))-1),"")</f>
        <v>-2.6952691055353362E-2</v>
      </c>
      <c r="M54" s="2">
        <f ca="1">IFERROR(IF(Inputs!$E$14 = "Semi-annual",(M53/OFFSET(M53,0,-2,,))-1,(M53/OFFSET(M53,0,-4,,))-1),"")</f>
        <v>0.14976879809923727</v>
      </c>
      <c r="N54" s="2">
        <f ca="1">IFERROR(IF(Inputs!$E$14 = "Semi-annual",(N53/OFFSET(N53,0,-2,,))-1,(N53/OFFSET(N53,0,-4,,))-1),"")</f>
        <v>3.3929042701678291E-2</v>
      </c>
      <c r="O54" s="2">
        <f ca="1">IFERROR(IF(Inputs!$E$14 = "Semi-annual",(O53/OFFSET(O53,0,-2,,))-1,(O53/OFFSET(O53,0,-4,,))-1),"")</f>
        <v>-9.4803428444955262E-2</v>
      </c>
      <c r="P54" s="2">
        <f ca="1">IFERROR(IF(Inputs!$E$14 = "Semi-annual",(P53/OFFSET(P53,0,-2,,))-1,(P53/OFFSET(P53,0,-4,,))-1),"")</f>
        <v>7.6988691609346516E-2</v>
      </c>
      <c r="Q54" s="2">
        <f ca="1">IFERROR(IF(Inputs!$E$14 = "Semi-annual",(Q53/OFFSET(Q53,0,-2,,))-1,(Q53/OFFSET(Q53,0,-4,,))-1),"")</f>
        <v>-2.7742007879344888E-2</v>
      </c>
      <c r="R54" s="2">
        <f ca="1">IFERROR(IF(Inputs!$E$14 = "Semi-annual",(R53/OFFSET(R53,0,-2,,))-1,(R53/OFFSET(R53,0,-4,,))-1),"")</f>
        <v>-8.5420090040744134E-2</v>
      </c>
      <c r="S54" s="2">
        <f ca="1">IFERROR(IF(Inputs!$E$14 = "Semi-annual",(S53/OFFSET(S53,0,-2,,))-1,(S53/OFFSET(S53,0,-4,,))-1),"")</f>
        <v>0.13247044070225722</v>
      </c>
      <c r="T54" s="2">
        <f ca="1">IFERROR(IF(Inputs!$E$14 = "Semi-annual",(T53/OFFSET(T53,0,-2,,))-1,(T53/OFFSET(T53,0,-4,,))-1),"")</f>
        <v>-6.382129135254655E-2</v>
      </c>
      <c r="U54" s="2">
        <f ca="1">IFERROR(IF(Inputs!$E$14 = "Semi-annual",(U53/OFFSET(U53,0,-2,,))-1,(U53/OFFSET(U53,0,-4,,))-1),"")</f>
        <v>4.5962695319889502E-2</v>
      </c>
      <c r="V54" s="2">
        <f ca="1">IFERROR(IF(Inputs!$E$14 = "Semi-annual",(V53/OFFSET(V53,0,-2,,))-1,(V53/OFFSET(V53,0,-4,,))-1),"")</f>
        <v>-0.18251100874189163</v>
      </c>
      <c r="W54" s="2">
        <f ca="1">IFERROR(IF(Inputs!$E$14 = "Semi-annual",(W53/OFFSET(W53,0,-2,,))-1,(W53/OFFSET(W53,0,-4,,))-1),"")</f>
        <v>1.1958511447378775</v>
      </c>
      <c r="X54" s="2">
        <f ca="1">IFERROR(IF(Inputs!$E$14 = "Semi-annual",(X53/OFFSET(X53,0,-2,,))-1,(X53/OFFSET(X53,0,-4,,))-1),"")</f>
        <v>2.9737671784975444</v>
      </c>
      <c r="Y54" s="2">
        <f ca="1">IFERROR(IF(Inputs!$E$14 = "Semi-annual",(Y53/OFFSET(Y53,0,-2,,))-1,(Y53/OFFSET(Y53,0,-4,,))-1),"")</f>
        <v>1.4473148148148147</v>
      </c>
    </row>
    <row r="55" spans="1:25" x14ac:dyDescent="0.3">
      <c r="A55" s="85" t="str">
        <f>("Landing fees, en route &amp; other variable charges per " &amp; 'Annual Operational Data'!$A$33 &amp;" [cents]")</f>
        <v>Landing fees, en route &amp; other variable charges per ASMs [cents]</v>
      </c>
      <c r="B55" s="4">
        <f>IFERROR(B15*100/'Interim Operational Data'!B33, "N/A")</f>
        <v>2.3343332424325061</v>
      </c>
      <c r="C55" s="4">
        <f>IFERROR(C15*100/'Interim Operational Data'!C33, "N/A")</f>
        <v>2.6673951917345518</v>
      </c>
      <c r="D55" s="4">
        <f>IFERROR(D15*100/'Interim Operational Data'!D33, "N/A")</f>
        <v>2.4304227745910345</v>
      </c>
      <c r="E55" s="4">
        <f>IFERROR(E15*100/'Interim Operational Data'!E33, "N/A")</f>
        <v>-3.1798187503312314E-2</v>
      </c>
      <c r="F55" s="4">
        <f>IFERROR(F15*100/'Interim Operational Data'!F33, "N/A")</f>
        <v>2.8286189683860234</v>
      </c>
      <c r="G55" s="4">
        <f>IFERROR(G15*100/'Interim Operational Data'!G33, "N/A")</f>
        <v>1.7096312209094164</v>
      </c>
      <c r="H55" s="4">
        <f>IFERROR(H15*100/'Interim Operational Data'!H33, "N/A")</f>
        <v>1.4864010120177102</v>
      </c>
      <c r="I55" s="4">
        <f>IFERROR(I15*100/'Interim Operational Data'!I33, "N/A")</f>
        <v>1.4983477434249242</v>
      </c>
      <c r="J55" s="4">
        <f>IFERROR(J15*100/'Interim Operational Data'!J33, "N/A")</f>
        <v>2.4067441250982791</v>
      </c>
      <c r="K55" s="4">
        <f>IFERROR(K15*100/'Interim Operational Data'!K33, "N/A")</f>
        <v>1.6957842016011357</v>
      </c>
      <c r="L55" s="4">
        <f>IFERROR(L15*100/'Interim Operational Data'!L33, "N/A")</f>
        <v>1.4460547504025765</v>
      </c>
      <c r="M55" s="4">
        <f>IFERROR(M15*100/'Interim Operational Data'!M33, "N/A")</f>
        <v>1.6369724277623909</v>
      </c>
      <c r="N55" s="4">
        <f>IFERROR(N15*100/'Interim Operational Data'!N33, "N/A")</f>
        <v>2.3851661169656504</v>
      </c>
      <c r="O55" s="4">
        <f>IFERROR(O15*100/'Interim Operational Data'!O33, "N/A")</f>
        <v>1.6832300414389967</v>
      </c>
      <c r="P55" s="4">
        <f>IFERROR(P15*100/'Interim Operational Data'!P33, "N/A")</f>
        <v>1.484745148927181</v>
      </c>
      <c r="Q55" s="4">
        <f>IFERROR(Q15*100/'Interim Operational Data'!Q33, "N/A")</f>
        <v>1.7774826158293617</v>
      </c>
      <c r="R55" s="4">
        <f>IFERROR(R15*100/'Interim Operational Data'!R33, "N/A")</f>
        <v>2.4023677736777369</v>
      </c>
      <c r="S55" s="4">
        <f>IFERROR(S15*100/'Interim Operational Data'!S33, "N/A")</f>
        <v>1.7054819061268363</v>
      </c>
      <c r="T55" s="4">
        <f>IFERROR(T15*100/'Interim Operational Data'!T33, "N/A")</f>
        <v>1.5250947407338942</v>
      </c>
      <c r="U55" s="4">
        <f>IFERROR(U15*100/'Interim Operational Data'!U33, "N/A")</f>
        <v>2.1149407892247738</v>
      </c>
      <c r="V55" s="4">
        <f>IFERROR(V15*100/'Interim Operational Data'!V33, "N/A")</f>
        <v>0.95274552337203866</v>
      </c>
      <c r="W55" s="4">
        <f>IFERROR(W15*100/'Interim Operational Data'!W33, "N/A")</f>
        <v>5.7066428889879628</v>
      </c>
      <c r="X55" s="4">
        <f>IFERROR(X15*100/'Interim Operational Data'!X33, "N/A")</f>
        <v>0.92452513027399563</v>
      </c>
      <c r="Y55" s="4">
        <f>IFERROR(Y15*100/'Interim Operational Data'!Y33, "N/A")</f>
        <v>1.7166666666666666</v>
      </c>
    </row>
    <row r="56" spans="1:25" x14ac:dyDescent="0.3">
      <c r="A56" s="85" t="s">
        <v>0</v>
      </c>
      <c r="B56" s="2"/>
      <c r="C56" s="2" t="str">
        <f ca="1">IFERROR(IF(Inputs!$E$14 = "Semi-annual",(C55/OFFSET(C55,0,-2,,))-1,(C55/OFFSET(C55,0,-4,,))-1),"")</f>
        <v/>
      </c>
      <c r="D56" s="2" t="str">
        <f ca="1">IFERROR(IF(Inputs!$E$14 = "Semi-annual",(D55/OFFSET(D55,0,-2,,))-1,(D55/OFFSET(D55,0,-4,,))-1),"")</f>
        <v/>
      </c>
      <c r="E56" s="2" t="str">
        <f ca="1">IFERROR(IF(Inputs!$E$14 = "Semi-annual",(E55/OFFSET(E55,0,-2,,))-1,(E55/OFFSET(E55,0,-4,,))-1),"")</f>
        <v/>
      </c>
      <c r="F56" s="2">
        <f ca="1">IFERROR(IF(Inputs!$E$14 = "Semi-annual",(F55/OFFSET(F55,0,-2,,))-1,(F55/OFFSET(F55,0,-4,,))-1),"")</f>
        <v>0.2117459996578912</v>
      </c>
      <c r="G56" s="2">
        <f ca="1">IFERROR(IF(Inputs!$E$14 = "Semi-annual",(G55/OFFSET(G55,0,-2,,))-1,(G55/OFFSET(G55,0,-4,,))-1),"")</f>
        <v>-0.35906339405310295</v>
      </c>
      <c r="H56" s="2">
        <f ca="1">IFERROR(IF(Inputs!$E$14 = "Semi-annual",(H55/OFFSET(H55,0,-2,,))-1,(H55/OFFSET(H55,0,-4,,))-1),"")</f>
        <v>-0.3884187444434124</v>
      </c>
      <c r="I56" s="2">
        <f ca="1">IFERROR(IF(Inputs!$E$14 = "Semi-annual",(I55/OFFSET(I55,0,-2,,))-1,(I55/OFFSET(I55,0,-4,,))-1),"")</f>
        <v>-48.120539284474816</v>
      </c>
      <c r="J56" s="2">
        <f ca="1">IFERROR(IF(Inputs!$E$14 = "Semi-annual",(J55/OFFSET(J55,0,-2,,))-1,(J55/OFFSET(J55,0,-4,,))-1),"")</f>
        <v>-0.14914516518584375</v>
      </c>
      <c r="K56" s="2">
        <f ca="1">IFERROR(IF(Inputs!$E$14 = "Semi-annual",(K55/OFFSET(K55,0,-2,,))-1,(K55/OFFSET(K55,0,-4,,))-1),"")</f>
        <v>-8.0994188330948402E-3</v>
      </c>
      <c r="L56" s="2">
        <f ca="1">IFERROR(IF(Inputs!$E$14 = "Semi-annual",(L55/OFFSET(L55,0,-2,,))-1,(L55/OFFSET(L55,0,-4,,))-1),"")</f>
        <v>-2.7143591324904848E-2</v>
      </c>
      <c r="M56" s="2">
        <f ca="1">IFERROR(IF(Inputs!$E$14 = "Semi-annual",(M55/OFFSET(M55,0,-2,,))-1,(M55/OFFSET(M55,0,-4,,))-1),"")</f>
        <v>9.2518365610241071E-2</v>
      </c>
      <c r="N56" s="2">
        <f ca="1">IFERROR(IF(Inputs!$E$14 = "Semi-annual",(N55/OFFSET(N55,0,-2,,))-1,(N55/OFFSET(N55,0,-4,,))-1),"")</f>
        <v>-8.9656427983375586E-3</v>
      </c>
      <c r="O56" s="2">
        <f ca="1">IFERROR(IF(Inputs!$E$14 = "Semi-annual",(O55/OFFSET(O55,0,-2,,))-1,(O55/OFFSET(O55,0,-4,,))-1),"")</f>
        <v>-7.4031590518921497E-3</v>
      </c>
      <c r="P56" s="2">
        <f ca="1">IFERROR(IF(Inputs!$E$14 = "Semi-annual",(P55/OFFSET(P55,0,-2,,))-1,(P55/OFFSET(P55,0,-4,,))-1),"")</f>
        <v>2.6755832387282297E-2</v>
      </c>
      <c r="Q56" s="2">
        <f ca="1">IFERROR(IF(Inputs!$E$14 = "Semi-annual",(Q55/OFFSET(Q55,0,-2,,))-1,(Q55/OFFSET(Q55,0,-4,,))-1),"")</f>
        <v>8.5835403018386103E-2</v>
      </c>
      <c r="R56" s="2">
        <f ca="1">IFERROR(IF(Inputs!$E$14 = "Semi-annual",(R55/OFFSET(R55,0,-2,,))-1,(R55/OFFSET(R55,0,-4,,))-1),"")</f>
        <v>7.2119323638430988E-3</v>
      </c>
      <c r="S56" s="2">
        <f ca="1">IFERROR(IF(Inputs!$E$14 = "Semi-annual",(S55/OFFSET(S55,0,-2,,))-1,(S55/OFFSET(S55,0,-4,,))-1),"")</f>
        <v>1.3219740700930238E-2</v>
      </c>
      <c r="T56" s="2">
        <f ca="1">IFERROR(IF(Inputs!$E$14 = "Semi-annual",(T55/OFFSET(T55,0,-2,,))-1,(T55/OFFSET(T55,0,-4,,))-1),"")</f>
        <v>2.7176106172744907E-2</v>
      </c>
      <c r="U56" s="2">
        <f ca="1">IFERROR(IF(Inputs!$E$14 = "Semi-annual",(U55/OFFSET(U55,0,-2,,))-1,(U55/OFFSET(U55,0,-4,,))-1),"")</f>
        <v>0.18985174335331334</v>
      </c>
      <c r="V56" s="2">
        <f ca="1">IFERROR(IF(Inputs!$E$14 = "Semi-annual",(V55/OFFSET(V55,0,-2,,))-1,(V55/OFFSET(V55,0,-4,,))-1),"")</f>
        <v>-0.60341395942324871</v>
      </c>
      <c r="W56" s="2">
        <f ca="1">IFERROR(IF(Inputs!$E$14 = "Semi-annual",(W55/OFFSET(W55,0,-2,,))-1,(W55/OFFSET(W55,0,-4,,))-1),"")</f>
        <v>2.3460588872196229</v>
      </c>
      <c r="X56" s="2">
        <f ca="1">IFERROR(IF(Inputs!$E$14 = "Semi-annual",(X55/OFFSET(X55,0,-2,,))-1,(X55/OFFSET(X55,0,-4,,))-1),"")</f>
        <v>-0.39379167367064494</v>
      </c>
      <c r="Y56" s="2">
        <f ca="1">IFERROR(IF(Inputs!$E$14 = "Semi-annual",(Y55/OFFSET(Y55,0,-2,,))-1,(Y55/OFFSET(Y55,0,-4,,))-1),"")</f>
        <v>-0.18831454979129392</v>
      </c>
    </row>
    <row r="57" spans="1:25" x14ac:dyDescent="0.3">
      <c r="A57" s="85" t="str">
        <f>("Selling &amp; distribution charges per " &amp; 'Annual Operational Data'!$A$33 &amp;" [cents]")</f>
        <v>Selling &amp; distribution charges per ASMs [cents]</v>
      </c>
      <c r="B57" s="4">
        <f>IFERROR(B17*100/'Interim Operational Data'!B33, "N/A")</f>
        <v>0.83992364330515412</v>
      </c>
      <c r="C57" s="4">
        <f>IFERROR(C17*100/'Interim Operational Data'!C33, "N/A")</f>
        <v>0.75501688853566462</v>
      </c>
      <c r="D57" s="4">
        <f>IFERROR(D17*100/'Interim Operational Data'!D33, "N/A")</f>
        <v>0.66709156575313366</v>
      </c>
      <c r="E57" s="4">
        <f>IFERROR(E17*100/'Interim Operational Data'!E33, "N/A")</f>
        <v>0.76845619799671416</v>
      </c>
      <c r="F57" s="4">
        <f>IFERROR(F17*100/'Interim Operational Data'!F33, "N/A")</f>
        <v>0.91766248172238185</v>
      </c>
      <c r="G57" s="4">
        <f>IFERROR(G17*100/'Interim Operational Data'!G33, "N/A")</f>
        <v>0.76083064804869316</v>
      </c>
      <c r="H57" s="4">
        <f>IFERROR(H17*100/'Interim Operational Data'!H33, "N/A")</f>
        <v>0.62899711856068596</v>
      </c>
      <c r="I57" s="4">
        <f>IFERROR(I17*100/'Interim Operational Data'!I33, "N/A")</f>
        <v>0.77859761893983981</v>
      </c>
      <c r="J57" s="4">
        <f>IFERROR(J17*100/'Interim Operational Data'!J33, "N/A")</f>
        <v>0.89543111732331615</v>
      </c>
      <c r="K57" s="4">
        <f>IFERROR(K17*100/'Interim Operational Data'!K33, "N/A")</f>
        <v>0.78479315376424652</v>
      </c>
      <c r="L57" s="4">
        <f>IFERROR(L17*100/'Interim Operational Data'!L33, "N/A")</f>
        <v>0.65700483091787443</v>
      </c>
      <c r="M57" s="4">
        <f>IFERROR(M17*100/'Interim Operational Data'!M33, "N/A")</f>
        <v>0.69860691992889923</v>
      </c>
      <c r="N57" s="4">
        <f>IFERROR(N17*100/'Interim Operational Data'!N33, "N/A")</f>
        <v>0.76019628348483625</v>
      </c>
      <c r="O57" s="4">
        <f>IFERROR(O17*100/'Interim Operational Data'!O33, "N/A")</f>
        <v>0.72976640140819249</v>
      </c>
      <c r="P57" s="4">
        <f>IFERROR(P17*100/'Interim Operational Data'!P33, "N/A")</f>
        <v>0.71521260222711769</v>
      </c>
      <c r="Q57" s="4">
        <f>IFERROR(Q17*100/'Interim Operational Data'!Q33, "N/A")</f>
        <v>0.71099304633174465</v>
      </c>
      <c r="R57" s="4">
        <f>IFERROR(R17*100/'Interim Operational Data'!R33, "N/A")</f>
        <v>0.81872693726937273</v>
      </c>
      <c r="S57" s="4">
        <f>IFERROR(S17*100/'Interim Operational Data'!S33, "N/A")</f>
        <v>0.78466499462558226</v>
      </c>
      <c r="T57" s="4">
        <f>IFERROR(T17*100/'Interim Operational Data'!T33, "N/A")</f>
        <v>0.76408787010506207</v>
      </c>
      <c r="U57" s="4">
        <f>IFERROR(U17*100/'Interim Operational Data'!U33, "N/A")</f>
        <v>0.6923688093526541</v>
      </c>
      <c r="V57" s="4">
        <f>IFERROR(V17*100/'Interim Operational Data'!V33, "N/A")</f>
        <v>5.5293266981412958E-2</v>
      </c>
      <c r="W57" s="4">
        <f>IFERROR(W17*100/'Interim Operational Data'!W33, "N/A")</f>
        <v>1.3374944271065536</v>
      </c>
      <c r="X57" s="4">
        <f>IFERROR(X17*100/'Interim Operational Data'!X33, "N/A")</f>
        <v>0.43704824340225246</v>
      </c>
      <c r="Y57" s="4">
        <f>IFERROR(Y17*100/'Interim Operational Data'!Y33, "N/A")</f>
        <v>0.4</v>
      </c>
    </row>
    <row r="58" spans="1:25" x14ac:dyDescent="0.3">
      <c r="A58" s="85" t="s">
        <v>0</v>
      </c>
      <c r="B58" s="2"/>
      <c r="C58" s="2" t="str">
        <f ca="1">IFERROR(IF(Inputs!$E$14 = "Semi-annual",(C57/OFFSET(C57,0,-2,,))-1,(C57/OFFSET(C57,0,-4,,))-1),"")</f>
        <v/>
      </c>
      <c r="D58" s="2" t="str">
        <f ca="1">IFERROR(IF(Inputs!$E$14 = "Semi-annual",(D57/OFFSET(D57,0,-2,,))-1,(D57/OFFSET(D57,0,-4,,))-1),"")</f>
        <v/>
      </c>
      <c r="E58" s="2" t="str">
        <f ca="1">IFERROR(IF(Inputs!$E$14 = "Semi-annual",(E57/OFFSET(E57,0,-2,,))-1,(E57/OFFSET(E57,0,-4,,))-1),"")</f>
        <v/>
      </c>
      <c r="F58" s="2">
        <f ca="1">IFERROR(IF(Inputs!$E$14 = "Semi-annual",(F57/OFFSET(F57,0,-2,,))-1,(F57/OFFSET(F57,0,-4,,))-1),"")</f>
        <v>9.2554649505186326E-2</v>
      </c>
      <c r="G58" s="2">
        <f ca="1">IFERROR(IF(Inputs!$E$14 = "Semi-annual",(G57/OFFSET(G57,0,-2,,))-1,(G57/OFFSET(G57,0,-4,,))-1),"")</f>
        <v>7.7001714813349498E-3</v>
      </c>
      <c r="H58" s="2">
        <f ca="1">IFERROR(IF(Inputs!$E$14 = "Semi-annual",(H57/OFFSET(H57,0,-2,,))-1,(H57/OFFSET(H57,0,-4,,))-1),"")</f>
        <v>-5.7105274820016372E-2</v>
      </c>
      <c r="I58" s="2">
        <f ca="1">IFERROR(IF(Inputs!$E$14 = "Semi-annual",(I57/OFFSET(I57,0,-2,,))-1,(I57/OFFSET(I57,0,-4,,))-1),"")</f>
        <v>1.3197135984540642E-2</v>
      </c>
      <c r="J58" s="2">
        <f ca="1">IFERROR(IF(Inputs!$E$14 = "Semi-annual",(J57/OFFSET(J57,0,-2,,))-1,(J57/OFFSET(J57,0,-4,,))-1),"")</f>
        <v>-2.4226079677289514E-2</v>
      </c>
      <c r="K58" s="2">
        <f ca="1">IFERROR(IF(Inputs!$E$14 = "Semi-annual",(K57/OFFSET(K57,0,-2,,))-1,(K57/OFFSET(K57,0,-4,,))-1),"")</f>
        <v>3.1495189865195616E-2</v>
      </c>
      <c r="L58" s="2">
        <f ca="1">IFERROR(IF(Inputs!$E$14 = "Semi-annual",(L57/OFFSET(L57,0,-2,,))-1,(L57/OFFSET(L57,0,-4,,))-1),"")</f>
        <v>4.4527568617925617E-2</v>
      </c>
      <c r="M58" s="2">
        <f ca="1">IFERROR(IF(Inputs!$E$14 = "Semi-annual",(M57/OFFSET(M57,0,-2,,))-1,(M57/OFFSET(M57,0,-4,,))-1),"")</f>
        <v>-0.10273689138666797</v>
      </c>
      <c r="N58" s="2">
        <f ca="1">IFERROR(IF(Inputs!$E$14 = "Semi-annual",(N57/OFFSET(N57,0,-2,,))-1,(N57/OFFSET(N57,0,-4,,))-1),"")</f>
        <v>-0.15102762370234923</v>
      </c>
      <c r="O58" s="2">
        <f ca="1">IFERROR(IF(Inputs!$E$14 = "Semi-annual",(O57/OFFSET(O57,0,-2,,))-1,(O57/OFFSET(O57,0,-4,,))-1),"")</f>
        <v>-7.011624922072679E-2</v>
      </c>
      <c r="P58" s="2">
        <f ca="1">IFERROR(IF(Inputs!$E$14 = "Semi-annual",(P57/OFFSET(P57,0,-2,,))-1,(P57/OFFSET(P57,0,-4,,))-1),"")</f>
        <v>8.8595651919215923E-2</v>
      </c>
      <c r="Q58" s="2">
        <f ca="1">IFERROR(IF(Inputs!$E$14 = "Semi-annual",(Q57/OFFSET(Q57,0,-2,,))-1,(Q57/OFFSET(Q57,0,-4,,))-1),"")</f>
        <v>1.772975052137471E-2</v>
      </c>
      <c r="R58" s="2">
        <f ca="1">IFERROR(IF(Inputs!$E$14 = "Semi-annual",(R57/OFFSET(R57,0,-2,,))-1,(R57/OFFSET(R57,0,-4,,))-1),"")</f>
        <v>7.6994133036568657E-2</v>
      </c>
      <c r="S58" s="2">
        <f ca="1">IFERROR(IF(Inputs!$E$14 = "Semi-annual",(S57/OFFSET(S57,0,-2,,))-1,(S57/OFFSET(S57,0,-4,,))-1),"")</f>
        <v>7.5227625047487479E-2</v>
      </c>
      <c r="T58" s="2">
        <f ca="1">IFERROR(IF(Inputs!$E$14 = "Semi-annual",(T57/OFFSET(T57,0,-2,,))-1,(T57/OFFSET(T57,0,-4,,))-1),"")</f>
        <v>6.8336698382761352E-2</v>
      </c>
      <c r="U58" s="2">
        <f ca="1">IFERROR(IF(Inputs!$E$14 = "Semi-annual",(U57/OFFSET(U57,0,-2,,))-1,(U57/OFFSET(U57,0,-4,,))-1),"")</f>
        <v>-2.6194682318173568E-2</v>
      </c>
      <c r="V58" s="2">
        <f ca="1">IFERROR(IF(Inputs!$E$14 = "Semi-annual",(V57/OFFSET(V57,0,-2,,))-1,(V57/OFFSET(V57,0,-4,,))-1),"")</f>
        <v>-0.93246433644185733</v>
      </c>
      <c r="W58" s="2">
        <f ca="1">IFERROR(IF(Inputs!$E$14 = "Semi-annual",(W57/OFFSET(W57,0,-2,,))-1,(W57/OFFSET(W57,0,-4,,))-1),"")</f>
        <v>0.70454198449972205</v>
      </c>
      <c r="X58" s="2">
        <f ca="1">IFERROR(IF(Inputs!$E$14 = "Semi-annual",(X57/OFFSET(X57,0,-2,,))-1,(X57/OFFSET(X57,0,-4,,))-1),"")</f>
        <v>-0.42801311144730214</v>
      </c>
      <c r="Y58" s="2">
        <f ca="1">IFERROR(IF(Inputs!$E$14 = "Semi-annual",(Y57/OFFSET(Y57,0,-2,,))-1,(Y57/OFFSET(Y57,0,-4,,))-1),"")</f>
        <v>-0.42227322404371581</v>
      </c>
    </row>
    <row r="59" spans="1:25" x14ac:dyDescent="0.3">
      <c r="A59" s="85" t="str">
        <f>("Other EBITDAR expenses [sub-total] per " &amp; 'Annual Operational Data'!$A$33 &amp;" [cents]")</f>
        <v>Other EBITDAR expenses [sub-total] per ASMs [cents]</v>
      </c>
      <c r="B59" s="4">
        <f>IFERROR(B19*100/'Interim Operational Data'!B33, "N/A")</f>
        <v>4.8213798745568583</v>
      </c>
      <c r="C59" s="4">
        <f>IFERROR(C19*100/'Interim Operational Data'!C33, "N/A")</f>
        <v>3.7651500099344326</v>
      </c>
      <c r="D59" s="4">
        <f>IFERROR(D19*100/'Interim Operational Data'!D33, "N/A")</f>
        <v>3.1357552581261952</v>
      </c>
      <c r="E59" s="4">
        <f>IFERROR(E19*100/'Interim Operational Data'!E33, "N/A")</f>
        <v>6.7624145423710846</v>
      </c>
      <c r="F59" s="4">
        <f>IFERROR(F19*100/'Interim Operational Data'!F33, "N/A")</f>
        <v>4.4219230575303783</v>
      </c>
      <c r="G59" s="4">
        <f>IFERROR(G19*100/'Interim Operational Data'!G33, "N/A")</f>
        <v>4.1979949874686717</v>
      </c>
      <c r="H59" s="4">
        <f>IFERROR(H19*100/'Interim Operational Data'!H33, "N/A")</f>
        <v>3.5912572914470449</v>
      </c>
      <c r="I59" s="4">
        <f>IFERROR(I19*100/'Interim Operational Data'!I33, "N/A")</f>
        <v>4.7847539722058761</v>
      </c>
      <c r="J59" s="4">
        <f>IFERROR(J19*100/'Interim Operational Data'!J33, "N/A")</f>
        <v>4.49462741329606</v>
      </c>
      <c r="K59" s="4">
        <f>IFERROR(K19*100/'Interim Operational Data'!K33, "N/A")</f>
        <v>4.0935441889813466</v>
      </c>
      <c r="L59" s="4">
        <f>IFERROR(L19*100/'Interim Operational Data'!L33, "N/A")</f>
        <v>3.1723027375201287</v>
      </c>
      <c r="M59" s="4">
        <f>IFERROR(M19*100/'Interim Operational Data'!M33, "N/A")</f>
        <v>4.4272663387210116</v>
      </c>
      <c r="N59" s="4">
        <f>IFERROR(N19*100/'Interim Operational Data'!N33, "N/A")</f>
        <v>4.5450888906765341</v>
      </c>
      <c r="O59" s="4">
        <f>IFERROR(O19*100/'Interim Operational Data'!O33, "N/A")</f>
        <v>4.2282445267519897</v>
      </c>
      <c r="P59" s="4">
        <f>IFERROR(P19*100/'Interim Operational Data'!P33, "N/A")</f>
        <v>3.1686634275884962</v>
      </c>
      <c r="Q59" s="4">
        <f>IFERROR(Q19*100/'Interim Operational Data'!Q33, "N/A")</f>
        <v>5.1136807563090869</v>
      </c>
      <c r="R59" s="4">
        <f>IFERROR(R19*100/'Interim Operational Data'!R33, "N/A")</f>
        <v>4.2550738007380078</v>
      </c>
      <c r="S59" s="4">
        <f>IFERROR(S19*100/'Interim Operational Data'!S33, "N/A")</f>
        <v>4.0093156574704407</v>
      </c>
      <c r="T59" s="4">
        <f>IFERROR(T19*100/'Interim Operational Data'!T33, "N/A")</f>
        <v>3.706442369904797</v>
      </c>
      <c r="U59" s="4">
        <f>IFERROR(U19*100/'Interim Operational Data'!U33, "N/A")</f>
        <v>3.8099201694979379</v>
      </c>
      <c r="V59" s="4">
        <f>IFERROR(V19*100/'Interim Operational Data'!V33, "N/A")</f>
        <v>1.5014248649568287</v>
      </c>
      <c r="W59" s="4">
        <f>IFERROR(W19*100/'Interim Operational Data'!W33, "N/A")</f>
        <v>20.419081587160054</v>
      </c>
      <c r="X59" s="4">
        <f>IFERROR(X19*100/'Interim Operational Data'!X33, "N/A")</f>
        <v>10.001680954782316</v>
      </c>
      <c r="Y59" s="4">
        <f>IFERROR(Y19*100/'Interim Operational Data'!Y33, "N/A")</f>
        <v>8.35</v>
      </c>
    </row>
    <row r="60" spans="1:25" x14ac:dyDescent="0.3">
      <c r="A60" s="85" t="s">
        <v>0</v>
      </c>
      <c r="B60" s="2"/>
      <c r="C60" s="2" t="str">
        <f ca="1">IFERROR(IF(Inputs!$E$14 = "Semi-annual",(C59/OFFSET(C59,0,-2,,))-1,(C59/OFFSET(C59,0,-4,,))-1),"")</f>
        <v/>
      </c>
      <c r="D60" s="2" t="str">
        <f ca="1">IFERROR(IF(Inputs!$E$14 = "Semi-annual",(D59/OFFSET(D59,0,-2,,))-1,(D59/OFFSET(D59,0,-4,,))-1),"")</f>
        <v/>
      </c>
      <c r="E60" s="2" t="str">
        <f ca="1">IFERROR(IF(Inputs!$E$14 = "Semi-annual",(E59/OFFSET(E59,0,-2,,))-1,(E59/OFFSET(E59,0,-4,,))-1),"")</f>
        <v/>
      </c>
      <c r="F60" s="2">
        <f ca="1">IFERROR(IF(Inputs!$E$14 = "Semi-annual",(F59/OFFSET(F59,0,-2,,))-1,(F59/OFFSET(F59,0,-4,,))-1),"")</f>
        <v>-8.285113959480217E-2</v>
      </c>
      <c r="G60" s="2">
        <f ca="1">IFERROR(IF(Inputs!$E$14 = "Semi-annual",(G59/OFFSET(G59,0,-2,,))-1,(G59/OFFSET(G59,0,-4,,))-1),"")</f>
        <v>0.11496088506225988</v>
      </c>
      <c r="H60" s="2">
        <f ca="1">IFERROR(IF(Inputs!$E$14 = "Semi-annual",(H59/OFFSET(H59,0,-2,,))-1,(H59/OFFSET(H59,0,-4,,))-1),"")</f>
        <v>0.14526070940658808</v>
      </c>
      <c r="I60" s="2">
        <f ca="1">IFERROR(IF(Inputs!$E$14 = "Semi-annual",(I59/OFFSET(I59,0,-2,,))-1,(I59/OFFSET(I59,0,-4,,))-1),"")</f>
        <v>-0.29244888164927363</v>
      </c>
      <c r="J60" s="2">
        <f ca="1">IFERROR(IF(Inputs!$E$14 = "Semi-annual",(J59/OFFSET(J59,0,-2,,))-1,(J59/OFFSET(J59,0,-4,,))-1),"")</f>
        <v>1.6441795757135225E-2</v>
      </c>
      <c r="K60" s="2">
        <f ca="1">IFERROR(IF(Inputs!$E$14 = "Semi-annual",(K59/OFFSET(K59,0,-2,,))-1,(K59/OFFSET(K59,0,-4,,))-1),"")</f>
        <v>-2.4881115579965751E-2</v>
      </c>
      <c r="L60" s="2">
        <f ca="1">IFERROR(IF(Inputs!$E$14 = "Semi-annual",(L59/OFFSET(L59,0,-2,,))-1,(L59/OFFSET(L59,0,-4,,))-1),"")</f>
        <v>-0.11665957627839707</v>
      </c>
      <c r="M60" s="2">
        <f ca="1">IFERROR(IF(Inputs!$E$14 = "Semi-annual",(M59/OFFSET(M59,0,-2,,))-1,(M59/OFFSET(M59,0,-4,,))-1),"")</f>
        <v>-7.4713900769291741E-2</v>
      </c>
      <c r="N60" s="2">
        <f ca="1">IFERROR(IF(Inputs!$E$14 = "Semi-annual",(N59/OFFSET(N59,0,-2,,))-1,(N59/OFFSET(N59,0,-4,,))-1),"")</f>
        <v>1.1227065725447849E-2</v>
      </c>
      <c r="O60" s="2">
        <f ca="1">IFERROR(IF(Inputs!$E$14 = "Semi-annual",(O59/OFFSET(O59,0,-2,,))-1,(O59/OFFSET(O59,0,-4,,))-1),"")</f>
        <v>3.2905553611273453E-2</v>
      </c>
      <c r="P60" s="2">
        <f ca="1">IFERROR(IF(Inputs!$E$14 = "Semi-annual",(P59/OFFSET(P59,0,-2,,))-1,(P59/OFFSET(P59,0,-4,,))-1),"")</f>
        <v>-1.1472139429156147E-3</v>
      </c>
      <c r="Q60" s="2">
        <f ca="1">IFERROR(IF(Inputs!$E$14 = "Semi-annual",(Q59/OFFSET(Q59,0,-2,,))-1,(Q59/OFFSET(Q59,0,-4,,))-1),"")</f>
        <v>0.15504249463933828</v>
      </c>
      <c r="R60" s="2">
        <f ca="1">IFERROR(IF(Inputs!$E$14 = "Semi-annual",(R59/OFFSET(R59,0,-2,,))-1,(R59/OFFSET(R59,0,-4,,))-1),"")</f>
        <v>-6.3808452796917159E-2</v>
      </c>
      <c r="S60" s="2">
        <f ca="1">IFERROR(IF(Inputs!$E$14 = "Semi-annual",(S59/OFFSET(S59,0,-2,,))-1,(S59/OFFSET(S59,0,-4,,))-1),"")</f>
        <v>-5.1777721911869579E-2</v>
      </c>
      <c r="T60" s="2">
        <f ca="1">IFERROR(IF(Inputs!$E$14 = "Semi-annual",(T59/OFFSET(T59,0,-2,,))-1,(T59/OFFSET(T59,0,-4,,))-1),"")</f>
        <v>0.16971791249081192</v>
      </c>
      <c r="U60" s="2">
        <f ca="1">IFERROR(IF(Inputs!$E$14 = "Semi-annual",(U59/OFFSET(U59,0,-2,,))-1,(U59/OFFSET(U59,0,-4,,))-1),"")</f>
        <v>-0.25495541253775245</v>
      </c>
      <c r="V60" s="2">
        <f ca="1">IFERROR(IF(Inputs!$E$14 = "Semi-annual",(V59/OFFSET(V59,0,-2,,))-1,(V59/OFFSET(V59,0,-4,,))-1),"")</f>
        <v>-0.64714481222478004</v>
      </c>
      <c r="W60" s="2">
        <f ca="1">IFERROR(IF(Inputs!$E$14 = "Semi-annual",(W59/OFFSET(W59,0,-2,,))-1,(W59/OFFSET(W59,0,-4,,))-1),"")</f>
        <v>4.0929094468064084</v>
      </c>
      <c r="X60" s="2">
        <f ca="1">IFERROR(IF(Inputs!$E$14 = "Semi-annual",(X59/OFFSET(X59,0,-2,,))-1,(X59/OFFSET(X59,0,-4,,))-1),"")</f>
        <v>1.6984585099698224</v>
      </c>
      <c r="Y60" s="2">
        <f ca="1">IFERROR(IF(Inputs!$E$14 = "Semi-annual",(Y59/OFFSET(Y59,0,-2,,))-1,(Y59/OFFSET(Y59,0,-4,,))-1),"")</f>
        <v>1.1916469712015889</v>
      </c>
    </row>
    <row r="61" spans="1:25" x14ac:dyDescent="0.3">
      <c r="A61" s="85" t="str">
        <f>("Non-aircraft rental [IS] per " &amp; 'Annual Operational Data'!$A$33 &amp; " [cents]")</f>
        <v>Non-aircraft rental [IS] per ASMs [cents]</v>
      </c>
      <c r="B61" s="4">
        <f>IFERROR(B21*100/'Interim Operational Data'!B33, "N/A")</f>
        <v>0</v>
      </c>
      <c r="C61" s="4">
        <f>IFERROR(C21*100/'Interim Operational Data'!C33, "N/A")</f>
        <v>0</v>
      </c>
      <c r="D61" s="4">
        <f>IFERROR(D21*100/'Interim Operational Data'!D33, "N/A")</f>
        <v>0</v>
      </c>
      <c r="E61" s="4">
        <f>IFERROR(E21*100/'Interim Operational Data'!E33, "N/A")</f>
        <v>0</v>
      </c>
      <c r="F61" s="4">
        <f>IFERROR(F21*100/'Interim Operational Data'!F33, "N/A")</f>
        <v>0</v>
      </c>
      <c r="G61" s="4">
        <f>IFERROR(G21*100/'Interim Operational Data'!G33, "N/A")</f>
        <v>0</v>
      </c>
      <c r="H61" s="4">
        <f>IFERROR(H21*100/'Interim Operational Data'!H33, "N/A")</f>
        <v>0</v>
      </c>
      <c r="I61" s="4">
        <f>IFERROR(I21*100/'Interim Operational Data'!I33, "N/A")</f>
        <v>0</v>
      </c>
      <c r="J61" s="4">
        <f>IFERROR(J21*100/'Interim Operational Data'!J33, "N/A")</f>
        <v>0</v>
      </c>
      <c r="K61" s="4">
        <f>IFERROR(K21*100/'Interim Operational Data'!K33, "N/A")</f>
        <v>0</v>
      </c>
      <c r="L61" s="4">
        <f>IFERROR(L21*100/'Interim Operational Data'!L33, "N/A")</f>
        <v>0</v>
      </c>
      <c r="M61" s="4">
        <f>IFERROR(M21*100/'Interim Operational Data'!M33, "N/A")</f>
        <v>0</v>
      </c>
      <c r="N61" s="4">
        <f>IFERROR(N21*100/'Interim Operational Data'!N33, "N/A")</f>
        <v>0</v>
      </c>
      <c r="O61" s="4">
        <f>IFERROR(O21*100/'Interim Operational Data'!O33, "N/A")</f>
        <v>0</v>
      </c>
      <c r="P61" s="4">
        <f>IFERROR(P21*100/'Interim Operational Data'!P33, "N/A")</f>
        <v>0</v>
      </c>
      <c r="Q61" s="4">
        <f>IFERROR(Q21*100/'Interim Operational Data'!Q33, "N/A")</f>
        <v>0</v>
      </c>
      <c r="R61" s="4">
        <f>IFERROR(R21*100/'Interim Operational Data'!R33, "N/A")</f>
        <v>0</v>
      </c>
      <c r="S61" s="4">
        <f>IFERROR(S21*100/'Interim Operational Data'!S33, "N/A")</f>
        <v>0</v>
      </c>
      <c r="T61" s="4">
        <f>IFERROR(T21*100/'Interim Operational Data'!T33, "N/A")</f>
        <v>0</v>
      </c>
      <c r="U61" s="4">
        <f>IFERROR(U21*100/'Interim Operational Data'!U33, "N/A")</f>
        <v>0</v>
      </c>
      <c r="V61" s="4">
        <f>IFERROR(V21*100/'Interim Operational Data'!V33, "N/A")</f>
        <v>0</v>
      </c>
      <c r="W61" s="4">
        <f>IFERROR(W21*100/'Interim Operational Data'!W33, "N/A")</f>
        <v>0</v>
      </c>
      <c r="X61" s="4">
        <f>IFERROR(X21*100/'Interim Operational Data'!X33, "N/A")</f>
        <v>0</v>
      </c>
      <c r="Y61" s="4">
        <f>IFERROR(Y21*100/'Interim Operational Data'!Y33, "N/A")</f>
        <v>0</v>
      </c>
    </row>
    <row r="62" spans="1:25" x14ac:dyDescent="0.3">
      <c r="A62" s="85" t="s">
        <v>0</v>
      </c>
      <c r="B62" s="2"/>
      <c r="C62" s="2" t="str">
        <f ca="1">IFERROR(IF(Inputs!$E$14 = "Semi-annual",(C61/OFFSET(C61,0,-2,,))-1,(C61/OFFSET(C61,0,-4,,))-1),"")</f>
        <v/>
      </c>
      <c r="D62" s="2" t="str">
        <f ca="1">IFERROR(IF(Inputs!$E$14 = "Semi-annual",(D61/OFFSET(D61,0,-2,,))-1,(D61/OFFSET(D61,0,-4,,))-1),"")</f>
        <v/>
      </c>
      <c r="E62" s="2" t="str">
        <f ca="1">IFERROR(IF(Inputs!$E$14 = "Semi-annual",(E61/OFFSET(E61,0,-2,,))-1,(E61/OFFSET(E61,0,-4,,))-1),"")</f>
        <v/>
      </c>
      <c r="F62" s="2" t="str">
        <f ca="1">IFERROR(IF(Inputs!$E$14 = "Semi-annual",(F61/OFFSET(F61,0,-2,,))-1,(F61/OFFSET(F61,0,-4,,))-1),"")</f>
        <v/>
      </c>
      <c r="G62" s="2" t="str">
        <f ca="1">IFERROR(IF(Inputs!$E$14 = "Semi-annual",(G61/OFFSET(G61,0,-2,,))-1,(G61/OFFSET(G61,0,-4,,))-1),"")</f>
        <v/>
      </c>
      <c r="H62" s="2" t="str">
        <f ca="1">IFERROR(IF(Inputs!$E$14 = "Semi-annual",(H61/OFFSET(H61,0,-2,,))-1,(H61/OFFSET(H61,0,-4,,))-1),"")</f>
        <v/>
      </c>
      <c r="I62" s="2" t="str">
        <f ca="1">IFERROR(IF(Inputs!$E$14 = "Semi-annual",(I61/OFFSET(I61,0,-2,,))-1,(I61/OFFSET(I61,0,-4,,))-1),"")</f>
        <v/>
      </c>
      <c r="J62" s="2" t="str">
        <f ca="1">IFERROR(IF(Inputs!$E$14 = "Semi-annual",(J61/OFFSET(J61,0,-2,,))-1,(J61/OFFSET(J61,0,-4,,))-1),"")</f>
        <v/>
      </c>
      <c r="K62" s="2" t="str">
        <f ca="1">IFERROR(IF(Inputs!$E$14 = "Semi-annual",(K61/OFFSET(K61,0,-2,,))-1,(K61/OFFSET(K61,0,-4,,))-1),"")</f>
        <v/>
      </c>
      <c r="L62" s="2" t="str">
        <f ca="1">IFERROR(IF(Inputs!$E$14 = "Semi-annual",(L61/OFFSET(L61,0,-2,,))-1,(L61/OFFSET(L61,0,-4,,))-1),"")</f>
        <v/>
      </c>
      <c r="M62" s="2" t="str">
        <f ca="1">IFERROR(IF(Inputs!$E$14 = "Semi-annual",(M61/OFFSET(M61,0,-2,,))-1,(M61/OFFSET(M61,0,-4,,))-1),"")</f>
        <v/>
      </c>
      <c r="N62" s="2" t="str">
        <f ca="1">IFERROR(IF(Inputs!$E$14 = "Semi-annual",(N61/OFFSET(N61,0,-2,,))-1,(N61/OFFSET(N61,0,-4,,))-1),"")</f>
        <v/>
      </c>
      <c r="O62" s="2" t="str">
        <f ca="1">IFERROR(IF(Inputs!$E$14 = "Semi-annual",(O61/OFFSET(O61,0,-2,,))-1,(O61/OFFSET(O61,0,-4,,))-1),"")</f>
        <v/>
      </c>
      <c r="P62" s="2" t="str">
        <f ca="1">IFERROR(IF(Inputs!$E$14 = "Semi-annual",(P61/OFFSET(P61,0,-2,,))-1,(P61/OFFSET(P61,0,-4,,))-1),"")</f>
        <v/>
      </c>
      <c r="Q62" s="2" t="str">
        <f ca="1">IFERROR(IF(Inputs!$E$14 = "Semi-annual",(Q61/OFFSET(Q61,0,-2,,))-1,(Q61/OFFSET(Q61,0,-4,,))-1),"")</f>
        <v/>
      </c>
      <c r="R62" s="2" t="str">
        <f ca="1">IFERROR(IF(Inputs!$E$14 = "Semi-annual",(R61/OFFSET(R61,0,-2,,))-1,(R61/OFFSET(R61,0,-4,,))-1),"")</f>
        <v/>
      </c>
      <c r="S62" s="2" t="str">
        <f ca="1">IFERROR(IF(Inputs!$E$14 = "Semi-annual",(S61/OFFSET(S61,0,-2,,))-1,(S61/OFFSET(S61,0,-4,,))-1),"")</f>
        <v/>
      </c>
      <c r="T62" s="2" t="str">
        <f ca="1">IFERROR(IF(Inputs!$E$14 = "Semi-annual",(T61/OFFSET(T61,0,-2,,))-1,(T61/OFFSET(T61,0,-4,,))-1),"")</f>
        <v/>
      </c>
      <c r="U62" s="2" t="str">
        <f ca="1">IFERROR(IF(Inputs!$E$14 = "Semi-annual",(U61/OFFSET(U61,0,-2,,))-1,(U61/OFFSET(U61,0,-4,,))-1),"")</f>
        <v/>
      </c>
      <c r="V62" s="2" t="str">
        <f ca="1">IFERROR(IF(Inputs!$E$14 = "Semi-annual",(V61/OFFSET(V61,0,-2,,))-1,(V61/OFFSET(V61,0,-4,,))-1),"")</f>
        <v/>
      </c>
      <c r="W62" s="2" t="str">
        <f ca="1">IFERROR(IF(Inputs!$E$14 = "Semi-annual",(W61/OFFSET(W61,0,-2,,))-1,(W61/OFFSET(W61,0,-4,,))-1),"")</f>
        <v/>
      </c>
      <c r="X62" s="2" t="str">
        <f ca="1">IFERROR(IF(Inputs!$E$14 = "Semi-annual",(X61/OFFSET(X61,0,-2,,))-1,(X61/OFFSET(X61,0,-4,,))-1),"")</f>
        <v/>
      </c>
      <c r="Y62" s="2" t="str">
        <f ca="1">IFERROR(IF(Inputs!$E$14 = "Semi-annual",(Y61/OFFSET(Y61,0,-2,,))-1,(Y61/OFFSET(Y61,0,-4,,))-1),"")</f>
        <v/>
      </c>
    </row>
    <row r="63" spans="1:25" x14ac:dyDescent="0.3">
      <c r="A63" s="85" t="str">
        <f>("Charter &amp; capacity hire per " &amp; 'Annual Operational Data'!$A$33 &amp; " [cents]")</f>
        <v>Charter &amp; capacity hire per ASMs [cents]</v>
      </c>
      <c r="B63" s="4">
        <f>IFERROR(B23*100/'Interim Operational Data'!B33, "N/A")</f>
        <v>3.0106353967821109</v>
      </c>
      <c r="C63" s="4">
        <f>IFERROR(C23*100/'Interim Operational Data'!C33, "N/A")</f>
        <v>2.9505265249354262</v>
      </c>
      <c r="D63" s="4">
        <f>IFERROR(D23*100/'Interim Operational Data'!D33, "N/A")</f>
        <v>2.4814106649670702</v>
      </c>
      <c r="E63" s="4">
        <f>IFERROR(E23*100/'Interim Operational Data'!E33, "N/A")</f>
        <v>2.9095341565530766</v>
      </c>
      <c r="F63" s="4">
        <f>IFERROR(F23*100/'Interim Operational Data'!F33, "N/A")</f>
        <v>2.8689557807694248</v>
      </c>
      <c r="G63" s="4">
        <f>IFERROR(G23*100/'Interim Operational Data'!G33, "N/A")</f>
        <v>2.5868242033655569</v>
      </c>
      <c r="H63" s="4">
        <f>IFERROR(H23*100/'Interim Operational Data'!H33, "N/A")</f>
        <v>2.2454142947501583</v>
      </c>
      <c r="I63" s="4">
        <f>IFERROR(I23*100/'Interim Operational Data'!I33, "N/A")</f>
        <v>2.8156262731429087</v>
      </c>
      <c r="J63" s="4">
        <f>IFERROR(J23*100/'Interim Operational Data'!J33, "N/A")</f>
        <v>2.7605486153577354</v>
      </c>
      <c r="K63" s="4">
        <f>IFERROR(K23*100/'Interim Operational Data'!K33, "N/A")</f>
        <v>2.5555073549710139</v>
      </c>
      <c r="L63" s="4">
        <f>IFERROR(L23*100/'Interim Operational Data'!L33, "N/A")</f>
        <v>1.7809983896940418</v>
      </c>
      <c r="M63" s="4">
        <f>IFERROR(M23*100/'Interim Operational Data'!M33, "N/A")</f>
        <v>2.6745483857633006</v>
      </c>
      <c r="N63" s="4">
        <f>IFERROR(N23*100/'Interim Operational Data'!N33, "N/A")</f>
        <v>2.7149867267315582</v>
      </c>
      <c r="O63" s="4">
        <f>IFERROR(O23*100/'Interim Operational Data'!O33, "N/A")</f>
        <v>2.7210385419340644</v>
      </c>
      <c r="P63" s="4">
        <f>IFERROR(P23*100/'Interim Operational Data'!P33, "N/A")</f>
        <v>1.7140960255907294</v>
      </c>
      <c r="Q63" s="4">
        <f>IFERROR(Q23*100/'Interim Operational Data'!Q33, "N/A")</f>
        <v>3.3479178060785997</v>
      </c>
      <c r="R63" s="4">
        <f>IFERROR(R23*100/'Interim Operational Data'!R33, "N/A")</f>
        <v>2.2832103321033212</v>
      </c>
      <c r="S63" s="4">
        <f>IFERROR(S23*100/'Interim Operational Data'!S33, "N/A")</f>
        <v>2.1640988892869939</v>
      </c>
      <c r="T63" s="4">
        <f>IFERROR(T23*100/'Interim Operational Data'!T33, "N/A")</f>
        <v>1.9471916689774162</v>
      </c>
      <c r="U63" s="4">
        <f>IFERROR(U23*100/'Interim Operational Data'!U33, "N/A")</f>
        <v>1.781998410956831</v>
      </c>
      <c r="V63" s="4">
        <f>IFERROR(V23*100/'Interim Operational Data'!V33, "N/A")</f>
        <v>0.73157245544638683</v>
      </c>
      <c r="W63" s="4">
        <f>IFERROR(W23*100/'Interim Operational Data'!W33, "N/A")</f>
        <v>8.8274632189032545</v>
      </c>
      <c r="X63" s="4">
        <f>IFERROR(X23*100/'Interim Operational Data'!X33, "N/A")</f>
        <v>4.1183392166750714</v>
      </c>
      <c r="Y63" s="4">
        <f>IFERROR(Y23*100/'Interim Operational Data'!Y33, "N/A")</f>
        <v>3.25</v>
      </c>
    </row>
    <row r="64" spans="1:25" x14ac:dyDescent="0.3">
      <c r="A64" s="85" t="s">
        <v>0</v>
      </c>
      <c r="B64" s="2"/>
      <c r="C64" s="2" t="str">
        <f ca="1">IFERROR(IF(Inputs!$E$14 = "Semi-annual",(C63/OFFSET(C63,0,-2,,))-1,(C63/OFFSET(C63,0,-4,,))-1),"")</f>
        <v/>
      </c>
      <c r="D64" s="2" t="str">
        <f ca="1">IFERROR(IF(Inputs!$E$14 = "Semi-annual",(D63/OFFSET(D63,0,-2,,))-1,(D63/OFFSET(D63,0,-4,,))-1),"")</f>
        <v/>
      </c>
      <c r="E64" s="2" t="str">
        <f ca="1">IFERROR(IF(Inputs!$E$14 = "Semi-annual",(E63/OFFSET(E63,0,-2,,))-1,(E63/OFFSET(E63,0,-4,,))-1),"")</f>
        <v/>
      </c>
      <c r="F64" s="2">
        <f ca="1">IFERROR(IF(Inputs!$E$14 = "Semi-annual",(F63/OFFSET(F63,0,-2,,))-1,(F63/OFFSET(F63,0,-4,,))-1),"")</f>
        <v>-4.7059705789720963E-2</v>
      </c>
      <c r="G64" s="2">
        <f ca="1">IFERROR(IF(Inputs!$E$14 = "Semi-annual",(G63/OFFSET(G63,0,-2,,))-1,(G63/OFFSET(G63,0,-4,,))-1),"")</f>
        <v>-0.12326692151253549</v>
      </c>
      <c r="H64" s="2">
        <f ca="1">IFERROR(IF(Inputs!$E$14 = "Semi-annual",(H63/OFFSET(H63,0,-2,,))-1,(H63/OFFSET(H63,0,-4,,))-1),"")</f>
        <v>-9.5105728990668159E-2</v>
      </c>
      <c r="I64" s="2">
        <f ca="1">IFERROR(IF(Inputs!$E$14 = "Semi-annual",(I63/OFFSET(I63,0,-2,,))-1,(I63/OFFSET(I63,0,-4,,))-1),"")</f>
        <v>-3.2275917159680478E-2</v>
      </c>
      <c r="J64" s="2">
        <f ca="1">IFERROR(IF(Inputs!$E$14 = "Semi-annual",(J63/OFFSET(J63,0,-2,,))-1,(J63/OFFSET(J63,0,-4,,))-1),"")</f>
        <v>-3.7786279641652598E-2</v>
      </c>
      <c r="K64" s="2">
        <f ca="1">IFERROR(IF(Inputs!$E$14 = "Semi-annual",(K63/OFFSET(K63,0,-2,,))-1,(K63/OFFSET(K63,0,-4,,))-1),"")</f>
        <v>-1.2106291704630956E-2</v>
      </c>
      <c r="L64" s="2">
        <f ca="1">IFERROR(IF(Inputs!$E$14 = "Semi-annual",(L63/OFFSET(L63,0,-2,,))-1,(L63/OFFSET(L63,0,-4,,))-1),"")</f>
        <v>-0.20682860447710427</v>
      </c>
      <c r="M64" s="2">
        <f ca="1">IFERROR(IF(Inputs!$E$14 = "Semi-annual",(M63/OFFSET(M63,0,-2,,))-1,(M63/OFFSET(M63,0,-4,,))-1),"")</f>
        <v>-5.0105331352137017E-2</v>
      </c>
      <c r="N64" s="2">
        <f ca="1">IFERROR(IF(Inputs!$E$14 = "Semi-annual",(N63/OFFSET(N63,0,-2,,))-1,(N63/OFFSET(N63,0,-4,,))-1),"")</f>
        <v>-1.6504649971640917E-2</v>
      </c>
      <c r="O64" s="2">
        <f ca="1">IFERROR(IF(Inputs!$E$14 = "Semi-annual",(O63/OFFSET(O63,0,-2,,))-1,(O63/OFFSET(O63,0,-4,,))-1),"")</f>
        <v>6.4774294873797489E-2</v>
      </c>
      <c r="P64" s="2">
        <f ca="1">IFERROR(IF(Inputs!$E$14 = "Semi-annual",(P63/OFFSET(P63,0,-2,,))-1,(P63/OFFSET(P63,0,-4,,))-1),"")</f>
        <v>-3.7564528126724284E-2</v>
      </c>
      <c r="Q64" s="2">
        <f ca="1">IFERROR(IF(Inputs!$E$14 = "Semi-annual",(Q63/OFFSET(Q63,0,-2,,))-1,(Q63/OFFSET(Q63,0,-4,,))-1),"")</f>
        <v>0.25176939175961977</v>
      </c>
      <c r="R64" s="2">
        <f ca="1">IFERROR(IF(Inputs!$E$14 = "Semi-annual",(R63/OFFSET(R63,0,-2,,))-1,(R63/OFFSET(R63,0,-4,,))-1),"")</f>
        <v>-0.15903444034440339</v>
      </c>
      <c r="S64" s="2">
        <f ca="1">IFERROR(IF(Inputs!$E$14 = "Semi-annual",(S63/OFFSET(S63,0,-2,,))-1,(S63/OFFSET(S63,0,-4,,))-1),"")</f>
        <v>-0.20467907531041729</v>
      </c>
      <c r="T64" s="2">
        <f ca="1">IFERROR(IF(Inputs!$E$14 = "Semi-annual",(T63/OFFSET(T63,0,-2,,))-1,(T63/OFFSET(T63,0,-4,,))-1),"")</f>
        <v>0.13598750589620856</v>
      </c>
      <c r="U64" s="2">
        <f ca="1">IFERROR(IF(Inputs!$E$14 = "Semi-annual",(U63/OFFSET(U63,0,-2,,))-1,(U63/OFFSET(U63,0,-4,,))-1),"")</f>
        <v>-0.46772934278094558</v>
      </c>
      <c r="V64" s="2">
        <f ca="1">IFERROR(IF(Inputs!$E$14 = "Semi-annual",(V63/OFFSET(V63,0,-2,,))-1,(V63/OFFSET(V63,0,-4,,))-1),"")</f>
        <v>-0.67958604375600684</v>
      </c>
      <c r="W64" s="2">
        <f ca="1">IFERROR(IF(Inputs!$E$14 = "Semi-annual",(W63/OFFSET(W63,0,-2,,))-1,(W63/OFFSET(W63,0,-4,,))-1),"")</f>
        <v>3.0790479874104273</v>
      </c>
      <c r="X64" s="2">
        <f ca="1">IFERROR(IF(Inputs!$E$14 = "Semi-annual",(X63/OFFSET(X63,0,-2,,))-1,(X63/OFFSET(X63,0,-4,,))-1),"")</f>
        <v>1.1150148094244114</v>
      </c>
      <c r="Y64" s="2">
        <f ca="1">IFERROR(IF(Inputs!$E$14 = "Semi-annual",(Y63/OFFSET(Y63,0,-2,,))-1,(Y63/OFFSET(Y63,0,-4,,))-1),"")</f>
        <v>0.82379511677282369</v>
      </c>
    </row>
    <row r="65" spans="1:25" x14ac:dyDescent="0.3">
      <c r="A65" s="85" t="str">
        <f>("Other operating expenses per " &amp; 'Annual Operational Data'!$A$33 &amp; " [cents]")</f>
        <v>Other operating expenses per ASMs [cents]</v>
      </c>
      <c r="B65" s="4">
        <f>IFERROR(B25*100/'Interim Operational Data'!B33, "N/A")</f>
        <v>1.8107444777747477</v>
      </c>
      <c r="C65" s="4">
        <f>IFERROR(C25*100/'Interim Operational Data'!C33, "N/A")</f>
        <v>0.81462348499900661</v>
      </c>
      <c r="D65" s="4">
        <f>IFERROR(D25*100/'Interim Operational Data'!D33, "N/A")</f>
        <v>0.65434459315912474</v>
      </c>
      <c r="E65" s="4">
        <f>IFERROR(E25*100/'Interim Operational Data'!E33, "N/A")</f>
        <v>3.8528803858180085</v>
      </c>
      <c r="F65" s="4">
        <f>IFERROR(F25*100/'Interim Operational Data'!F33, "N/A")</f>
        <v>1.5529672767609539</v>
      </c>
      <c r="G65" s="4">
        <f>IFERROR(G25*100/'Interim Operational Data'!G33, "N/A")</f>
        <v>1.6111707841031149</v>
      </c>
      <c r="H65" s="4">
        <f>IFERROR(H25*100/'Interim Operational Data'!H33, "N/A")</f>
        <v>1.3458429966968866</v>
      </c>
      <c r="I65" s="4">
        <f>IFERROR(I25*100/'Interim Operational Data'!I33, "N/A")</f>
        <v>1.9691276990629669</v>
      </c>
      <c r="J65" s="4">
        <f>IFERROR(J25*100/'Interim Operational Data'!J33, "N/A")</f>
        <v>1.7340787979383245</v>
      </c>
      <c r="K65" s="4">
        <f>IFERROR(K25*100/'Interim Operational Data'!K33, "N/A")</f>
        <v>1.5380368340103325</v>
      </c>
      <c r="L65" s="4">
        <f>IFERROR(L25*100/'Interim Operational Data'!L33, "N/A")</f>
        <v>1.3913043478260869</v>
      </c>
      <c r="M65" s="4">
        <f>IFERROR(M25*100/'Interim Operational Data'!M33, "N/A")</f>
        <v>1.7527179529577115</v>
      </c>
      <c r="N65" s="4">
        <f>IFERROR(N25*100/'Interim Operational Data'!N33, "N/A")</f>
        <v>1.8301021639449764</v>
      </c>
      <c r="O65" s="4">
        <f>IFERROR(O25*100/'Interim Operational Data'!O33, "N/A")</f>
        <v>1.5072059848179251</v>
      </c>
      <c r="P65" s="4">
        <f>IFERROR(P25*100/'Interim Operational Data'!P33, "N/A")</f>
        <v>1.4545674019977668</v>
      </c>
      <c r="Q65" s="4">
        <f>IFERROR(Q25*100/'Interim Operational Data'!Q33, "N/A")</f>
        <v>1.7657629502304868</v>
      </c>
      <c r="R65" s="4">
        <f>IFERROR(R25*100/'Interim Operational Data'!R33, "N/A")</f>
        <v>1.9718634686346863</v>
      </c>
      <c r="S65" s="4">
        <f>IFERROR(S25*100/'Interim Operational Data'!S33, "N/A")</f>
        <v>1.8452167681834468</v>
      </c>
      <c r="T65" s="4">
        <f>IFERROR(T25*100/'Interim Operational Data'!T33, "N/A")</f>
        <v>1.7592507009273808</v>
      </c>
      <c r="U65" s="4">
        <f>IFERROR(U25*100/'Interim Operational Data'!U33, "N/A")</f>
        <v>2.0279217585411069</v>
      </c>
      <c r="V65" s="4">
        <f>IFERROR(V25*100/'Interim Operational Data'!V33, "N/A")</f>
        <v>0.76985240951044187</v>
      </c>
      <c r="W65" s="4">
        <f>IFERROR(W25*100/'Interim Operational Data'!W33, "N/A")</f>
        <v>11.5916183682568</v>
      </c>
      <c r="X65" s="4">
        <f>IFERROR(X25*100/'Interim Operational Data'!X33, "N/A")</f>
        <v>5.8833417381072453</v>
      </c>
      <c r="Y65" s="4">
        <f>IFERROR(Y25*100/'Interim Operational Data'!Y33, "N/A")</f>
        <v>5.0999999999999996</v>
      </c>
    </row>
    <row r="66" spans="1:25" x14ac:dyDescent="0.3">
      <c r="A66" s="85" t="s">
        <v>0</v>
      </c>
      <c r="B66" s="2"/>
      <c r="C66" s="2" t="str">
        <f ca="1">IFERROR(IF(Inputs!$E$14 = "Semi-annual",(C65/OFFSET(C65,0,-2,,))-1,(C65/OFFSET(C65,0,-4,,))-1),"")</f>
        <v/>
      </c>
      <c r="D66" s="2" t="str">
        <f ca="1">IFERROR(IF(Inputs!$E$14 = "Semi-annual",(D65/OFFSET(D65,0,-2,,))-1,(D65/OFFSET(D65,0,-4,,))-1),"")</f>
        <v/>
      </c>
      <c r="E66" s="2" t="str">
        <f ca="1">IFERROR(IF(Inputs!$E$14 = "Semi-annual",(E65/OFFSET(E65,0,-2,,))-1,(E65/OFFSET(E65,0,-4,,))-1),"")</f>
        <v/>
      </c>
      <c r="F66" s="2">
        <f ca="1">IFERROR(IF(Inputs!$E$14 = "Semi-annual",(F65/OFFSET(F65,0,-2,,))-1,(F65/OFFSET(F65,0,-4,,))-1),"")</f>
        <v>-0.14235978857192499</v>
      </c>
      <c r="G66" s="2">
        <f ca="1">IFERROR(IF(Inputs!$E$14 = "Semi-annual",(G65/OFFSET(G65,0,-2,,))-1,(G65/OFFSET(G65,0,-4,,))-1),"")</f>
        <v>0.97781037960755524</v>
      </c>
      <c r="H66" s="2">
        <f ca="1">IFERROR(IF(Inputs!$E$14 = "Semi-annual",(H65/OFFSET(H65,0,-2,,))-1,(H65/OFFSET(H65,0,-4,,))-1),"")</f>
        <v>1.0567801900818976</v>
      </c>
      <c r="I66" s="2">
        <f ca="1">IFERROR(IF(Inputs!$E$14 = "Semi-annual",(I65/OFFSET(I65,0,-2,,))-1,(I65/OFFSET(I65,0,-4,,))-1),"")</f>
        <v>-0.48892062512215784</v>
      </c>
      <c r="J66" s="2">
        <f ca="1">IFERROR(IF(Inputs!$E$14 = "Semi-annual",(J65/OFFSET(J65,0,-2,,))-1,(J65/OFFSET(J65,0,-4,,))-1),"")</f>
        <v>0.11662288310099966</v>
      </c>
      <c r="K66" s="2">
        <f ca="1">IFERROR(IF(Inputs!$E$14 = "Semi-annual",(K65/OFFSET(K65,0,-2,,))-1,(K65/OFFSET(K65,0,-4,,))-1),"")</f>
        <v>-4.5391805024253551E-2</v>
      </c>
      <c r="L66" s="2">
        <f ca="1">IFERROR(IF(Inputs!$E$14 = "Semi-annual",(L65/OFFSET(L65,0,-2,,))-1,(L65/OFFSET(L65,0,-4,,))-1),"")</f>
        <v>3.3779089567487874E-2</v>
      </c>
      <c r="M66" s="2">
        <f ca="1">IFERROR(IF(Inputs!$E$14 = "Semi-annual",(M65/OFFSET(M65,0,-2,,))-1,(M65/OFFSET(M65,0,-4,,))-1),"")</f>
        <v>-0.10990132646462525</v>
      </c>
      <c r="N66" s="2">
        <f ca="1">IFERROR(IF(Inputs!$E$14 = "Semi-annual",(N65/OFFSET(N65,0,-2,,))-1,(N65/OFFSET(N65,0,-4,,))-1),"")</f>
        <v>5.5374280638697426E-2</v>
      </c>
      <c r="O66" s="2">
        <f ca="1">IFERROR(IF(Inputs!$E$14 = "Semi-annual",(O65/OFFSET(O65,0,-2,,))-1,(O65/OFFSET(O65,0,-4,,))-1),"")</f>
        <v>-2.0045585717227588E-2</v>
      </c>
      <c r="P66" s="2">
        <f ca="1">IFERROR(IF(Inputs!$E$14 = "Semi-annual",(P65/OFFSET(P65,0,-2,,))-1,(P65/OFFSET(P65,0,-4,,))-1),"")</f>
        <v>4.5470320185894808E-2</v>
      </c>
      <c r="Q66" s="2">
        <f ca="1">IFERROR(IF(Inputs!$E$14 = "Semi-annual",(Q65/OFFSET(Q65,0,-2,,))-1,(Q65/OFFSET(Q65,0,-4,,))-1),"")</f>
        <v>7.4427247411723574E-3</v>
      </c>
      <c r="R66" s="2">
        <f ca="1">IFERROR(IF(Inputs!$E$14 = "Semi-annual",(R65/OFFSET(R65,0,-2,,))-1,(R65/OFFSET(R65,0,-4,,))-1),"")</f>
        <v>7.7460869388913611E-2</v>
      </c>
      <c r="S66" s="2">
        <f ca="1">IFERROR(IF(Inputs!$E$14 = "Semi-annual",(S65/OFFSET(S65,0,-2,,))-1,(S65/OFFSET(S65,0,-4,,))-1),"")</f>
        <v>0.22426316427237003</v>
      </c>
      <c r="T66" s="2">
        <f ca="1">IFERROR(IF(Inputs!$E$14 = "Semi-annual",(T65/OFFSET(T65,0,-2,,))-1,(T65/OFFSET(T65,0,-4,,))-1),"")</f>
        <v>0.20946660739897549</v>
      </c>
      <c r="U66" s="2">
        <f ca="1">IFERROR(IF(Inputs!$E$14 = "Semi-annual",(U65/OFFSET(U65,0,-2,,))-1,(U65/OFFSET(U65,0,-4,,))-1),"")</f>
        <v>0.14846772511361173</v>
      </c>
      <c r="V66" s="2">
        <f ca="1">IFERROR(IF(Inputs!$E$14 = "Semi-annual",(V65/OFFSET(V65,0,-2,,))-1,(V65/OFFSET(V65,0,-4,,))-1),"")</f>
        <v>-0.60958128097809638</v>
      </c>
      <c r="W66" s="2">
        <f ca="1">IFERROR(IF(Inputs!$E$14 = "Semi-annual",(W65/OFFSET(W65,0,-2,,))-1,(W65/OFFSET(W65,0,-4,,))-1),"")</f>
        <v>5.2819819156902383</v>
      </c>
      <c r="X66" s="2">
        <f ca="1">IFERROR(IF(Inputs!$E$14 = "Semi-annual",(X65/OFFSET(X65,0,-2,,))-1,(X65/OFFSET(X65,0,-4,,))-1),"")</f>
        <v>2.3442315725699978</v>
      </c>
      <c r="Y66" s="2">
        <f ca="1">IFERROR(IF(Inputs!$E$14 = "Semi-annual",(Y65/OFFSET(Y65,0,-2,,))-1,(Y65/OFFSET(Y65,0,-4,,))-1),"")</f>
        <v>1.5148899253731343</v>
      </c>
    </row>
    <row r="67" spans="1:25" x14ac:dyDescent="0.3">
      <c r="A67" s="85" t="str">
        <f>("Aircraft rental expense [IS] per " &amp; 'Annual Operational Data'!$A$33 &amp; " [cents]")</f>
        <v>Aircraft rental expense [IS] per ASMs [cents]</v>
      </c>
      <c r="B67" s="4">
        <f>IFERROR(B27*100/'Interim Operational Data'!B33, "N/A")</f>
        <v>0.44723206981183528</v>
      </c>
      <c r="C67" s="4">
        <f>IFERROR(C27*100/'Interim Operational Data'!C33, "N/A")</f>
        <v>0.41724617524339358</v>
      </c>
      <c r="D67" s="4">
        <f>IFERROR(D27*100/'Interim Operational Data'!D33, "N/A")</f>
        <v>0.37816018695559805</v>
      </c>
      <c r="E67" s="4">
        <f>IFERROR(E27*100/'Interim Operational Data'!E33, "N/A")</f>
        <v>0.51937039588743439</v>
      </c>
      <c r="F67" s="4">
        <f>IFERROR(F27*100/'Interim Operational Data'!F33, "N/A")</f>
        <v>0.56471537336761968</v>
      </c>
      <c r="G67" s="4">
        <f>IFERROR(G27*100/'Interim Operational Data'!G33, "N/A")</f>
        <v>0.50125313283208017</v>
      </c>
      <c r="H67" s="4">
        <f>IFERROR(H27*100/'Interim Operational Data'!H33, "N/A")</f>
        <v>0.41464614519642984</v>
      </c>
      <c r="I67" s="4">
        <f>IFERROR(I27*100/'Interim Operational Data'!I33, "N/A")</f>
        <v>0.54320764112081843</v>
      </c>
      <c r="J67" s="4">
        <f>IFERROR(J27*100/'Interim Operational Data'!J33, "N/A")</f>
        <v>0.53289071372411989</v>
      </c>
      <c r="K67" s="4">
        <f>IFERROR(K27*100/'Interim Operational Data'!K33, "N/A")</f>
        <v>0.51267894467011077</v>
      </c>
      <c r="L67" s="4">
        <f>IFERROR(L27*100/'Interim Operational Data'!L33, "N/A")</f>
        <v>0.40257648953301128</v>
      </c>
      <c r="M67" s="4">
        <f>IFERROR(M27*100/'Interim Operational Data'!M33, "N/A")</f>
        <v>0.5208548633789426</v>
      </c>
      <c r="N67" s="4">
        <f>IFERROR(N27*100/'Interim Operational Data'!N33, "N/A")</f>
        <v>0.50277531976510337</v>
      </c>
      <c r="O67" s="4">
        <f>IFERROR(O27*100/'Interim Operational Data'!O33, "N/A")</f>
        <v>0.45106164509149582</v>
      </c>
      <c r="P67" s="4">
        <f>IFERROR(P27*100/'Interim Operational Data'!P33, "N/A")</f>
        <v>0.41343513293297524</v>
      </c>
      <c r="Q67" s="4">
        <f>IFERROR(Q27*100/'Interim Operational Data'!Q33, "N/A")</f>
        <v>0.51957184155012115</v>
      </c>
      <c r="R67" s="4">
        <f>IFERROR(R27*100/'Interim Operational Data'!R33, "N/A")</f>
        <v>0</v>
      </c>
      <c r="S67" s="4">
        <f>IFERROR(S27*100/'Interim Operational Data'!S33, "N/A")</f>
        <v>0</v>
      </c>
      <c r="T67" s="4">
        <f>IFERROR(T27*100/'Interim Operational Data'!T33, "N/A")</f>
        <v>0</v>
      </c>
      <c r="U67" s="4">
        <f>IFERROR(U27*100/'Interim Operational Data'!U33, "N/A")</f>
        <v>0</v>
      </c>
      <c r="V67" s="4">
        <f>IFERROR(V27*100/'Interim Operational Data'!V33, "N/A")</f>
        <v>0</v>
      </c>
      <c r="W67" s="4">
        <f>IFERROR(W27*100/'Interim Operational Data'!W33, "N/A")</f>
        <v>0</v>
      </c>
      <c r="X67" s="4">
        <f>IFERROR(X27*100/'Interim Operational Data'!X33, "N/A")</f>
        <v>0</v>
      </c>
      <c r="Y67" s="4">
        <f>IFERROR(Y27*100/'Interim Operational Data'!Y33, "N/A")</f>
        <v>0</v>
      </c>
    </row>
    <row r="68" spans="1:25" x14ac:dyDescent="0.3">
      <c r="A68" s="85" t="s">
        <v>0</v>
      </c>
      <c r="B68" s="2"/>
      <c r="C68" s="2" t="str">
        <f ca="1">IFERROR(IF(Inputs!$E$14 = "Semi-annual",(C67/OFFSET(C67,0,-2,,))-1,(C67/OFFSET(C67,0,-4,,))-1),"")</f>
        <v/>
      </c>
      <c r="D68" s="2" t="str">
        <f ca="1">IFERROR(IF(Inputs!$E$14 = "Semi-annual",(D67/OFFSET(D67,0,-2,,))-1,(D67/OFFSET(D67,0,-4,,))-1),"")</f>
        <v/>
      </c>
      <c r="E68" s="2" t="str">
        <f ca="1">IFERROR(IF(Inputs!$E$14 = "Semi-annual",(E67/OFFSET(E67,0,-2,,))-1,(E67/OFFSET(E67,0,-4,,))-1),"")</f>
        <v/>
      </c>
      <c r="F68" s="2">
        <f ca="1">IFERROR(IF(Inputs!$E$14 = "Semi-annual",(F67/OFFSET(F67,0,-2,,))-1,(F67/OFFSET(F67,0,-4,,))-1),"")</f>
        <v>0.26268980130430575</v>
      </c>
      <c r="G68" s="2">
        <f ca="1">IFERROR(IF(Inputs!$E$14 = "Semi-annual",(G67/OFFSET(G67,0,-2,,))-1,(G67/OFFSET(G67,0,-4,,))-1),"")</f>
        <v>0.20133667502088559</v>
      </c>
      <c r="H68" s="2">
        <f ca="1">IFERROR(IF(Inputs!$E$14 = "Semi-annual",(H67/OFFSET(H67,0,-2,,))-1,(H67/OFFSET(H67,0,-4,,))-1),"")</f>
        <v>9.6482812044716315E-2</v>
      </c>
      <c r="I68" s="2">
        <f ca="1">IFERROR(IF(Inputs!$E$14 = "Semi-annual",(I67/OFFSET(I67,0,-2,,))-1,(I67/OFFSET(I67,0,-4,,))-1),"")</f>
        <v>4.5896426562114678E-2</v>
      </c>
      <c r="J68" s="2">
        <f ca="1">IFERROR(IF(Inputs!$E$14 = "Semi-annual",(J67/OFFSET(J67,0,-2,,))-1,(J67/OFFSET(J67,0,-4,,))-1),"")</f>
        <v>-5.6355220956208152E-2</v>
      </c>
      <c r="K68" s="2">
        <f ca="1">IFERROR(IF(Inputs!$E$14 = "Semi-annual",(K67/OFFSET(K67,0,-2,,))-1,(K67/OFFSET(K67,0,-4,,))-1),"")</f>
        <v>2.2794494616870997E-2</v>
      </c>
      <c r="L68" s="2">
        <f ca="1">IFERROR(IF(Inputs!$E$14 = "Semi-annual",(L67/OFFSET(L67,0,-2,,))-1,(L67/OFFSET(L67,0,-4,,))-1),"")</f>
        <v>-2.9108327192336025E-2</v>
      </c>
      <c r="M68" s="2">
        <f ca="1">IFERROR(IF(Inputs!$E$14 = "Semi-annual",(M67/OFFSET(M67,0,-2,,))-1,(M67/OFFSET(M67,0,-4,,))-1),"")</f>
        <v>-4.1149601091314936E-2</v>
      </c>
      <c r="N68" s="2">
        <f ca="1">IFERROR(IF(Inputs!$E$14 = "Semi-annual",(N67/OFFSET(N67,0,-2,,))-1,(N67/OFFSET(N67,0,-4,,))-1),"")</f>
        <v>-5.6513264696534726E-2</v>
      </c>
      <c r="O68" s="2">
        <f ca="1">IFERROR(IF(Inputs!$E$14 = "Semi-annual",(O67/OFFSET(O67,0,-2,,))-1,(O67/OFFSET(O67,0,-4,,))-1),"")</f>
        <v>-0.1201869127242261</v>
      </c>
      <c r="P68" s="2">
        <f ca="1">IFERROR(IF(Inputs!$E$14 = "Semi-annual",(P67/OFFSET(P67,0,-2,,))-1,(P67/OFFSET(P67,0,-4,,))-1),"")</f>
        <v>2.6972870205510535E-2</v>
      </c>
      <c r="Q68" s="2">
        <f ca="1">IFERROR(IF(Inputs!$E$14 = "Semi-annual",(Q67/OFFSET(Q67,0,-2,,))-1,(Q67/OFFSET(Q67,0,-4,,))-1),"")</f>
        <v>-2.46330008420792E-3</v>
      </c>
      <c r="R68" s="2">
        <f ca="1">IFERROR(IF(Inputs!$E$14 = "Semi-annual",(R67/OFFSET(R67,0,-2,,))-1,(R67/OFFSET(R67,0,-4,,))-1),"")</f>
        <v>-1</v>
      </c>
      <c r="S68" s="2">
        <f ca="1">IFERROR(IF(Inputs!$E$14 = "Semi-annual",(S67/OFFSET(S67,0,-2,,))-1,(S67/OFFSET(S67,0,-4,,))-1),"")</f>
        <v>-1</v>
      </c>
      <c r="T68" s="2">
        <f ca="1">IFERROR(IF(Inputs!$E$14 = "Semi-annual",(T67/OFFSET(T67,0,-2,,))-1,(T67/OFFSET(T67,0,-4,,))-1),"")</f>
        <v>-1</v>
      </c>
      <c r="U68" s="2">
        <f ca="1">IFERROR(IF(Inputs!$E$14 = "Semi-annual",(U67/OFFSET(U67,0,-2,,))-1,(U67/OFFSET(U67,0,-4,,))-1),"")</f>
        <v>-1</v>
      </c>
      <c r="V68" s="2" t="str">
        <f ca="1">IFERROR(IF(Inputs!$E$14 = "Semi-annual",(V67/OFFSET(V67,0,-2,,))-1,(V67/OFFSET(V67,0,-4,,))-1),"")</f>
        <v/>
      </c>
      <c r="W68" s="2" t="str">
        <f ca="1">IFERROR(IF(Inputs!$E$14 = "Semi-annual",(W67/OFFSET(W67,0,-2,,))-1,(W67/OFFSET(W67,0,-4,,))-1),"")</f>
        <v/>
      </c>
      <c r="X68" s="2" t="str">
        <f ca="1">IFERROR(IF(Inputs!$E$14 = "Semi-annual",(X67/OFFSET(X67,0,-2,,))-1,(X67/OFFSET(X67,0,-4,,))-1),"")</f>
        <v/>
      </c>
      <c r="Y68" s="2" t="str">
        <f ca="1">IFERROR(IF(Inputs!$E$14 = "Semi-annual",(Y67/OFFSET(Y67,0,-2,,))-1,(Y67/OFFSET(Y67,0,-4,,))-1),"")</f>
        <v/>
      </c>
    </row>
    <row r="69" spans="1:25" x14ac:dyDescent="0.3">
      <c r="A69" s="85" t="str">
        <f>("Depreciation &amp; amortisation per " &amp; 'Annual Operational Data'!$A$33 &amp; " [cents]")</f>
        <v>Depreciation &amp; amortisation per ASMs [cents]</v>
      </c>
      <c r="B69" s="4">
        <f>IFERROR(B29*100/'Interim Operational Data'!B33, "N/A")</f>
        <v>0.83446959367330242</v>
      </c>
      <c r="C69" s="4">
        <f>IFERROR(C29*100/'Interim Operational Data'!C33, "N/A")</f>
        <v>0.87919729783429368</v>
      </c>
      <c r="D69" s="4">
        <f>IFERROR(D29*100/'Interim Operational Data'!D33, "N/A")</f>
        <v>0.70108349267049075</v>
      </c>
      <c r="E69" s="4">
        <f>IFERROR(E29*100/'Interim Operational Data'!E33, "N/A")</f>
        <v>0.847951666754995</v>
      </c>
      <c r="F69" s="4">
        <f>IFERROR(F29*100/'Interim Operational Data'!F33, "N/A")</f>
        <v>0.91766248172238185</v>
      </c>
      <c r="G69" s="4">
        <f>IFERROR(G29*100/'Interim Operational Data'!G33, "N/A")</f>
        <v>0.90404582885785889</v>
      </c>
      <c r="H69" s="4">
        <f>IFERROR(H29*100/'Interim Operational Data'!H33, "N/A")</f>
        <v>0.77306908426453014</v>
      </c>
      <c r="I69" s="4">
        <f>IFERROR(I29*100/'Interim Operational Data'!I33, "N/A")</f>
        <v>0.95966683264677921</v>
      </c>
      <c r="J69" s="4">
        <f>IFERROR(J29*100/'Interim Operational Data'!J33, "N/A")</f>
        <v>0.99589412073032235</v>
      </c>
      <c r="K69" s="4">
        <f>IFERROR(K29*100/'Interim Operational Data'!K33, "N/A")</f>
        <v>0.95437157392436012</v>
      </c>
      <c r="L69" s="4">
        <f>IFERROR(L29*100/'Interim Operational Data'!L33, "N/A")</f>
        <v>0.77616747181964574</v>
      </c>
      <c r="M69" s="4">
        <f>IFERROR(M29*100/'Interim Operational Data'!M33, "N/A")</f>
        <v>1.0127733454590551</v>
      </c>
      <c r="N69" s="4">
        <f>IFERROR(N29*100/'Interim Operational Data'!N33, "N/A")</f>
        <v>1.0739280830182607</v>
      </c>
      <c r="O69" s="4">
        <f>IFERROR(O29*100/'Interim Operational Data'!O33, "N/A")</f>
        <v>1.0194726612637059</v>
      </c>
      <c r="P69" s="4">
        <f>IFERROR(P29*100/'Interim Operational Data'!P33, "N/A")</f>
        <v>0.80876361770830185</v>
      </c>
      <c r="Q69" s="4">
        <f>IFERROR(Q29*100/'Interim Operational Data'!Q33, "N/A")</f>
        <v>1.0430502382998672</v>
      </c>
      <c r="R69" s="4">
        <f>IFERROR(R29*100/'Interim Operational Data'!R33, "N/A")</f>
        <v>1.7527675276752768</v>
      </c>
      <c r="S69" s="4">
        <f>IFERROR(S29*100/'Interim Operational Data'!S33, "N/A")</f>
        <v>1.7699749193837335</v>
      </c>
      <c r="T69" s="4">
        <f>IFERROR(T29*100/'Interim Operational Data'!T33, "N/A")</f>
        <v>1.589795729734726</v>
      </c>
      <c r="U69" s="4">
        <f>IFERROR(U29*100/'Interim Operational Data'!U33, "N/A")</f>
        <v>1.9068518028073096</v>
      </c>
      <c r="V69" s="4">
        <f>IFERROR(V29*100/'Interim Operational Data'!V33, "N/A")</f>
        <v>2.0713708476883159</v>
      </c>
      <c r="W69" s="4">
        <f>IFERROR(W29*100/'Interim Operational Data'!W33, "N/A")</f>
        <v>18.724921979491754</v>
      </c>
      <c r="X69" s="4">
        <f>IFERROR(X29*100/'Interim Operational Data'!X33, "N/A")</f>
        <v>7.3625819465456379</v>
      </c>
      <c r="Y69" s="4">
        <f>IFERROR(Y29*100/'Interim Operational Data'!Y33, "N/A")</f>
        <v>6.8833333333333337</v>
      </c>
    </row>
    <row r="70" spans="1:25" x14ac:dyDescent="0.3">
      <c r="A70" s="85" t="s">
        <v>0</v>
      </c>
      <c r="B70" s="2"/>
      <c r="C70" s="2" t="str">
        <f ca="1">IFERROR(IF(Inputs!$E$14 = "Semi-annual",(C69/OFFSET(C69,0,-2,,))-1,(C69/OFFSET(C69,0,-4,,))-1),"")</f>
        <v/>
      </c>
      <c r="D70" s="2" t="str">
        <f ca="1">IFERROR(IF(Inputs!$E$14 = "Semi-annual",(D69/OFFSET(D69,0,-2,,))-1,(D69/OFFSET(D69,0,-4,,))-1),"")</f>
        <v/>
      </c>
      <c r="E70" s="2" t="str">
        <f ca="1">IFERROR(IF(Inputs!$E$14 = "Semi-annual",(E69/OFFSET(E69,0,-2,,))-1,(E69/OFFSET(E69,0,-4,,))-1),"")</f>
        <v/>
      </c>
      <c r="F70" s="2">
        <f ca="1">IFERROR(IF(Inputs!$E$14 = "Semi-annual",(F69/OFFSET(F69,0,-2,,))-1,(F69/OFFSET(F69,0,-4,,))-1),"")</f>
        <v>9.9695529567311869E-2</v>
      </c>
      <c r="G70" s="2">
        <f ca="1">IFERROR(IF(Inputs!$E$14 = "Semi-annual",(G69/OFFSET(G69,0,-2,,))-1,(G69/OFFSET(G69,0,-4,,))-1),"")</f>
        <v>2.8262747263639199E-2</v>
      </c>
      <c r="H70" s="2">
        <f ca="1">IFERROR(IF(Inputs!$E$14 = "Semi-annual",(H69/OFFSET(H69,0,-2,,))-1,(H69/OFFSET(H69,0,-4,,))-1),"")</f>
        <v>0.10267763019186171</v>
      </c>
      <c r="I70" s="2">
        <f ca="1">IFERROR(IF(Inputs!$E$14 = "Semi-annual",(I69/OFFSET(I69,0,-2,,))-1,(I69/OFFSET(I69,0,-4,,))-1),"")</f>
        <v>0.13174709157575482</v>
      </c>
      <c r="J70" s="2">
        <f ca="1">IFERROR(IF(Inputs!$E$14 = "Semi-annual",(J69/OFFSET(J69,0,-2,,))-1,(J69/OFFSET(J69,0,-4,,))-1),"")</f>
        <v>8.5250994310136496E-2</v>
      </c>
      <c r="K70" s="2">
        <f ca="1">IFERROR(IF(Inputs!$E$14 = "Semi-annual",(K69/OFFSET(K69,0,-2,,))-1,(K69/OFFSET(K69,0,-4,,))-1),"")</f>
        <v>5.5667249889401083E-2</v>
      </c>
      <c r="L70" s="2">
        <f ca="1">IFERROR(IF(Inputs!$E$14 = "Semi-annual",(L69/OFFSET(L69,0,-2,,))-1,(L69/OFFSET(L69,0,-4,,))-1),"")</f>
        <v>4.0079051383399289E-3</v>
      </c>
      <c r="M70" s="2">
        <f ca="1">IFERROR(IF(Inputs!$E$14 = "Semi-annual",(M69/OFFSET(M69,0,-2,,))-1,(M69/OFFSET(M69,0,-4,,))-1),"")</f>
        <v>5.533848936490493E-2</v>
      </c>
      <c r="N70" s="2">
        <f ca="1">IFERROR(IF(Inputs!$E$14 = "Semi-annual",(N69/OFFSET(N69,0,-2,,))-1,(N69/OFFSET(N69,0,-4,,))-1),"")</f>
        <v>7.8355681255265708E-2</v>
      </c>
      <c r="O70" s="2">
        <f ca="1">IFERROR(IF(Inputs!$E$14 = "Semi-annual",(O69/OFFSET(O69,0,-2,,))-1,(O69/OFFSET(O69,0,-4,,))-1),"")</f>
        <v>6.821356494478481E-2</v>
      </c>
      <c r="P70" s="2">
        <f ca="1">IFERROR(IF(Inputs!$E$14 = "Semi-annual",(P69/OFFSET(P69,0,-2,,))-1,(P69/OFFSET(P69,0,-4,,))-1),"")</f>
        <v>4.1996279246587997E-2</v>
      </c>
      <c r="Q70" s="2">
        <f ca="1">IFERROR(IF(Inputs!$E$14 = "Semi-annual",(Q69/OFFSET(Q69,0,-2,,))-1,(Q69/OFFSET(Q69,0,-4,,))-1),"")</f>
        <v>2.9895033253554582E-2</v>
      </c>
      <c r="R70" s="2">
        <f ca="1">IFERROR(IF(Inputs!$E$14 = "Semi-annual",(R69/OFFSET(R69,0,-2,,))-1,(R69/OFFSET(R69,0,-4,,))-1),"")</f>
        <v>0.63210884917837951</v>
      </c>
      <c r="S70" s="2">
        <f ca="1">IFERROR(IF(Inputs!$E$14 = "Semi-annual",(S69/OFFSET(S69,0,-2,,))-1,(S69/OFFSET(S69,0,-4,,))-1),"")</f>
        <v>0.73616712506025306</v>
      </c>
      <c r="T70" s="2">
        <f ca="1">IFERROR(IF(Inputs!$E$14 = "Semi-annual",(T69/OFFSET(T69,0,-2,,))-1,(T69/OFFSET(T69,0,-4,,))-1),"")</f>
        <v>0.96571123493356792</v>
      </c>
      <c r="U70" s="2">
        <f ca="1">IFERROR(IF(Inputs!$E$14 = "Semi-annual",(U69/OFFSET(U69,0,-2,,))-1,(U69/OFFSET(U69,0,-4,,))-1),"")</f>
        <v>0.82814952989743484</v>
      </c>
      <c r="V70" s="2">
        <f ca="1">IFERROR(IF(Inputs!$E$14 = "Semi-annual",(V69/OFFSET(V69,0,-2,,))-1,(V69/OFFSET(V69,0,-4,,))-1),"")</f>
        <v>0.18177157836533397</v>
      </c>
      <c r="W70" s="2">
        <f ca="1">IFERROR(IF(Inputs!$E$14 = "Semi-annual",(W69/OFFSET(W69,0,-2,,))-1,(W69/OFFSET(W69,0,-4,,))-1),"")</f>
        <v>9.5792018714092073</v>
      </c>
      <c r="X70" s="2">
        <f ca="1">IFERROR(IF(Inputs!$E$14 = "Semi-annual",(X69/OFFSET(X69,0,-2,,))-1,(X69/OFFSET(X69,0,-4,,))-1),"")</f>
        <v>3.6311496557951894</v>
      </c>
      <c r="Y70" s="2">
        <f ca="1">IFERROR(IF(Inputs!$E$14 = "Semi-annual",(Y69/OFFSET(Y69,0,-2,,))-1,(Y69/OFFSET(Y69,0,-4,,))-1),"")</f>
        <v>2.6097893518518522</v>
      </c>
    </row>
    <row r="71" spans="1:25" x14ac:dyDescent="0.3">
      <c r="A71" s="14" t="str">
        <f>("Total Operating Costs per " &amp; 'Annual Operational Data'!$A$33 &amp; " [cents]")</f>
        <v>Total Operating Costs per ASMs [cents]</v>
      </c>
      <c r="B71" s="77">
        <f>IFERROR(B31*100/'Interim Operational Data'!B33, "N/A")</f>
        <v>16.629397327515679</v>
      </c>
      <c r="C71" s="77">
        <f>IFERROR(C31*100/'Interim Operational Data'!C33, "N/A")</f>
        <v>15.467911782237234</v>
      </c>
      <c r="D71" s="77">
        <f>IFERROR(D31*100/'Interim Operational Data'!D33, "N/A")</f>
        <v>13.630762693860207</v>
      </c>
      <c r="E71" s="77">
        <f>IFERROR(E31*100/'Interim Operational Data'!E33, "N/A")</f>
        <v>15.861995866235624</v>
      </c>
      <c r="F71" s="77">
        <f>IFERROR(F31*100/'Interim Operational Data'!F33, "N/A")</f>
        <v>16.079261836333384</v>
      </c>
      <c r="G71" s="77">
        <f>IFERROR(G31*100/'Interim Operational Data'!G33, "N/A")</f>
        <v>14.236484067311135</v>
      </c>
      <c r="H71" s="77">
        <f>IFERROR(H31*100/'Interim Operational Data'!H33, "N/A")</f>
        <v>12.492093611638204</v>
      </c>
      <c r="I71" s="77">
        <f>IFERROR(I31*100/'Interim Operational Data'!I33, "N/A")</f>
        <v>15.010637816305282</v>
      </c>
      <c r="J71" s="77">
        <f>IFERROR(J31*100/'Interim Operational Data'!J33, "N/A")</f>
        <v>16.012929151742814</v>
      </c>
      <c r="K71" s="77">
        <f>IFERROR(K31*100/'Interim Operational Data'!K33, "N/A")</f>
        <v>14.311629924675632</v>
      </c>
      <c r="L71" s="77">
        <f>IFERROR(L31*100/'Interim Operational Data'!L33, "N/A")</f>
        <v>12.392914653784219</v>
      </c>
      <c r="M71" s="77">
        <f>IFERROR(M31*100/'Interim Operational Data'!M33, "N/A")</f>
        <v>15.241205406969534</v>
      </c>
      <c r="N71" s="77">
        <f>IFERROR(N31*100/'Interim Operational Data'!N33, "N/A")</f>
        <v>16.430697449923578</v>
      </c>
      <c r="O71" s="77">
        <f>IFERROR(O31*100/'Interim Operational Data'!O33, "N/A")</f>
        <v>15.061058344640434</v>
      </c>
      <c r="P71" s="77">
        <f>IFERROR(P31*100/'Interim Operational Data'!P33, "N/A")</f>
        <v>13.806319220207019</v>
      </c>
      <c r="Q71" s="77">
        <f>IFERROR(Q31*100/'Interim Operational Data'!Q33, "N/A")</f>
        <v>16.110633643253379</v>
      </c>
      <c r="R71" s="77">
        <f>IFERROR(R31*100/'Interim Operational Data'!R33, "N/A")</f>
        <v>16.628228782287824</v>
      </c>
      <c r="S71" s="77">
        <f>IFERROR(S31*100/'Interim Operational Data'!S33, "N/A")</f>
        <v>15.532067359369401</v>
      </c>
      <c r="T71" s="77">
        <f>IFERROR(T31*100/'Interim Operational Data'!T33, "N/A")</f>
        <v>14.163354592229719</v>
      </c>
      <c r="U71" s="77">
        <f>IFERROR(U31*100/'Interim Operational Data'!U33, "N/A")</f>
        <v>15.72017706481026</v>
      </c>
      <c r="V71" s="77">
        <f>IFERROR(V31*100/'Interim Operational Data'!V33, "N/A")</f>
        <v>7.4688443707200882</v>
      </c>
      <c r="W71" s="77">
        <f>IFERROR(W31*100/'Interim Operational Data'!W33, "N/A")</f>
        <v>68.747213553276865</v>
      </c>
      <c r="X71" s="77">
        <f>IFERROR(X31*100/'Interim Operational Data'!X33, "N/A")</f>
        <v>31.013615733736764</v>
      </c>
      <c r="Y71" s="77">
        <f>IFERROR(Y31*100/'Interim Operational Data'!Y33, "N/A")</f>
        <v>29.3</v>
      </c>
    </row>
    <row r="72" spans="1:25" x14ac:dyDescent="0.3">
      <c r="A72" s="85" t="s">
        <v>0</v>
      </c>
      <c r="B72" s="2"/>
      <c r="C72" s="2" t="str">
        <f ca="1">IFERROR(IF(Inputs!$E$14 = "Semi-annual",(C71/OFFSET(C71,0,-2,,))-1,(C71/OFFSET(C71,0,-4,,))-1),"")</f>
        <v/>
      </c>
      <c r="D72" s="2" t="str">
        <f ca="1">IFERROR(IF(Inputs!$E$14 = "Semi-annual",(D71/OFFSET(D71,0,-2,,))-1,(D71/OFFSET(D71,0,-4,,))-1),"")</f>
        <v/>
      </c>
      <c r="E72" s="2" t="str">
        <f ca="1">IFERROR(IF(Inputs!$E$14 = "Semi-annual",(E71/OFFSET(E71,0,-2,,))-1,(E71/OFFSET(E71,0,-4,,))-1),"")</f>
        <v/>
      </c>
      <c r="F72" s="2">
        <f ca="1">IFERROR(IF(Inputs!$E$14 = "Semi-annual",(F71/OFFSET(F71,0,-2,,))-1,(F71/OFFSET(F71,0,-4,,))-1),"")</f>
        <v>-3.3082106365455499E-2</v>
      </c>
      <c r="G72" s="2">
        <f ca="1">IFERROR(IF(Inputs!$E$14 = "Semi-annual",(G71/OFFSET(G71,0,-2,,))-1,(G71/OFFSET(G71,0,-4,,))-1),"")</f>
        <v>-7.9611762225087368E-2</v>
      </c>
      <c r="H72" s="2">
        <f ca="1">IFERROR(IF(Inputs!$E$14 = "Semi-annual",(H71/OFFSET(H71,0,-2,,))-1,(H71/OFFSET(H71,0,-4,,))-1),"")</f>
        <v>-8.3536710879348108E-2</v>
      </c>
      <c r="I72" s="2">
        <f ca="1">IFERROR(IF(Inputs!$E$14 = "Semi-annual",(I71/OFFSET(I71,0,-2,,))-1,(I71/OFFSET(I71,0,-4,,))-1),"")</f>
        <v>-5.3672820060593485E-2</v>
      </c>
      <c r="J72" s="2">
        <f ca="1">IFERROR(IF(Inputs!$E$14 = "Semi-annual",(J71/OFFSET(J71,0,-2,,))-1,(J71/OFFSET(J71,0,-4,,))-1),"")</f>
        <v>-4.1253563295227114E-3</v>
      </c>
      <c r="K72" s="2">
        <f ca="1">IFERROR(IF(Inputs!$E$14 = "Semi-annual",(K71/OFFSET(K71,0,-2,,))-1,(K71/OFFSET(K71,0,-4,,))-1),"")</f>
        <v>5.2783999904191248E-3</v>
      </c>
      <c r="L72" s="2">
        <f ca="1">IFERROR(IF(Inputs!$E$14 = "Semi-annual",(L71/OFFSET(L71,0,-2,,))-1,(L71/OFFSET(L71,0,-4,,))-1),"")</f>
        <v>-7.9393383477037727E-3</v>
      </c>
      <c r="M72" s="2">
        <f ca="1">IFERROR(IF(Inputs!$E$14 = "Semi-annual",(M71/OFFSET(M71,0,-2,,))-1,(M71/OFFSET(M71,0,-4,,))-1),"")</f>
        <v>1.5360279388914266E-2</v>
      </c>
      <c r="N72" s="2">
        <f ca="1">IFERROR(IF(Inputs!$E$14 = "Semi-annual",(N71/OFFSET(N71,0,-2,,))-1,(N71/OFFSET(N71,0,-4,,))-1),"")</f>
        <v>2.6089436493590856E-2</v>
      </c>
      <c r="O72" s="2">
        <f ca="1">IFERROR(IF(Inputs!$E$14 = "Semi-annual",(O71/OFFSET(O71,0,-2,,))-1,(O71/OFFSET(O71,0,-4,,))-1),"")</f>
        <v>5.2364994337413817E-2</v>
      </c>
      <c r="P72" s="2">
        <f ca="1">IFERROR(IF(Inputs!$E$14 = "Semi-annual",(P71/OFFSET(P71,0,-2,,))-1,(P71/OFFSET(P71,0,-4,,))-1),"")</f>
        <v>0.11404940693198529</v>
      </c>
      <c r="Q72" s="2">
        <f ca="1">IFERROR(IF(Inputs!$E$14 = "Semi-annual",(Q71/OFFSET(Q71,0,-2,,))-1,(Q71/OFFSET(Q71,0,-4,,))-1),"")</f>
        <v>5.7044584930682207E-2</v>
      </c>
      <c r="R72" s="2">
        <f ca="1">IFERROR(IF(Inputs!$E$14 = "Semi-annual",(R71/OFFSET(R71,0,-2,,))-1,(R71/OFFSET(R71,0,-4,,))-1),"")</f>
        <v>1.2022090539142827E-2</v>
      </c>
      <c r="S72" s="2">
        <f ca="1">IFERROR(IF(Inputs!$E$14 = "Semi-annual",(S71/OFFSET(S71,0,-2,,))-1,(S71/OFFSET(S71,0,-4,,))-1),"")</f>
        <v>3.1273301248220697E-2</v>
      </c>
      <c r="T72" s="2">
        <f ca="1">IFERROR(IF(Inputs!$E$14 = "Semi-annual",(T71/OFFSET(T71,0,-2,,))-1,(T71/OFFSET(T71,0,-4,,))-1),"")</f>
        <v>2.5860286607030103E-2</v>
      </c>
      <c r="U72" s="2">
        <f ca="1">IFERROR(IF(Inputs!$E$14 = "Semi-annual",(U71/OFFSET(U71,0,-2,,))-1,(U71/OFFSET(U71,0,-4,,))-1),"")</f>
        <v>-2.4235954158552286E-2</v>
      </c>
      <c r="V72" s="2">
        <f ca="1">IFERROR(IF(Inputs!$E$14 = "Semi-annual",(V71/OFFSET(V71,0,-2,,))-1,(V71/OFFSET(V71,0,-4,,))-1),"")</f>
        <v>-0.55083343701189591</v>
      </c>
      <c r="W72" s="2">
        <f ca="1">IFERROR(IF(Inputs!$E$14 = "Semi-annual",(W71/OFFSET(W71,0,-2,,))-1,(W71/OFFSET(W71,0,-4,,))-1),"")</f>
        <v>3.4261470133147807</v>
      </c>
      <c r="X72" s="2">
        <f ca="1">IFERROR(IF(Inputs!$E$14 = "Semi-annual",(X71/OFFSET(X71,0,-2,,))-1,(X71/OFFSET(X71,0,-4,,))-1),"")</f>
        <v>1.189708344289524</v>
      </c>
      <c r="Y72" s="2">
        <f ca="1">IFERROR(IF(Inputs!$E$14 = "Semi-annual",(Y71/OFFSET(Y71,0,-2,,))-1,(Y71/OFFSET(Y71,0,-4,,))-1),"")</f>
        <v>0.8638466907340554</v>
      </c>
    </row>
    <row r="73" spans="1:25" x14ac:dyDescent="0.3">
      <c r="A73" s="14" t="str">
        <f>("Total Operating Costs ex-fuel per " &amp; 'Annual Operational Data'!$A$33 &amp;" [cents]")</f>
        <v>Total Operating Costs ex-fuel per ASMs [cents]</v>
      </c>
      <c r="B73" s="77">
        <f>IFERROR(B33*100/'Interim Operational Data'!B33, "N/A")</f>
        <v>13.400599945459504</v>
      </c>
      <c r="C73" s="77">
        <f>IFERROR(C33*100/'Interim Operational Data'!C33, "N/A")</f>
        <v>12.24915557321677</v>
      </c>
      <c r="D73" s="77">
        <f>IFERROR(D33*100/'Interim Operational Data'!D33, "N/A")</f>
        <v>10.669216061185468</v>
      </c>
      <c r="E73" s="77">
        <f>IFERROR(E33*100/'Interim Operational Data'!E33, "N/A")</f>
        <v>13.069055063861359</v>
      </c>
      <c r="F73" s="77">
        <f>IFERROR(F33*100/'Interim Operational Data'!F33, "N/A")</f>
        <v>13.830484545958756</v>
      </c>
      <c r="G73" s="77">
        <f>IFERROR(G33*100/'Interim Operational Data'!G33, "N/A")</f>
        <v>11.877909058360187</v>
      </c>
      <c r="H73" s="77">
        <f>IFERROR(H33*100/'Interim Operational Data'!H33, "N/A")</f>
        <v>10.004216740459624</v>
      </c>
      <c r="I73" s="77">
        <f>IFERROR(I33*100/'Interim Operational Data'!I33, "N/A")</f>
        <v>12.303653071386538</v>
      </c>
      <c r="J73" s="77">
        <f>IFERROR(J33*100/'Interim Operational Data'!J33, "N/A")</f>
        <v>13.134445706298594</v>
      </c>
      <c r="K73" s="77">
        <f>IFERROR(K33*100/'Interim Operational Data'!K33, "N/A")</f>
        <v>11.547107307646804</v>
      </c>
      <c r="L73" s="77">
        <f>IFERROR(L33*100/'Interim Operational Data'!L33, "N/A")</f>
        <v>9.3623188405797109</v>
      </c>
      <c r="M73" s="77">
        <f>IFERROR(M33*100/'Interim Operational Data'!M33, "N/A")</f>
        <v>12.202885370592369</v>
      </c>
      <c r="N73" s="77">
        <f>IFERROR(N33*100/'Interim Operational Data'!N33, "N/A")</f>
        <v>13.112380339473896</v>
      </c>
      <c r="O73" s="77">
        <f>IFERROR(O33*100/'Interim Operational Data'!O33, "N/A")</f>
        <v>11.525908540833914</v>
      </c>
      <c r="P73" s="77">
        <f>IFERROR(P33*100/'Interim Operational Data'!P33, "N/A")</f>
        <v>9.668950116184325</v>
      </c>
      <c r="Q73" s="77">
        <f>IFERROR(Q33*100/'Interim Operational Data'!Q33, "N/A")</f>
        <v>12.950230486756778</v>
      </c>
      <c r="R73" s="77">
        <f>IFERROR(R33*100/'Interim Operational Data'!R33, "N/A")</f>
        <v>13.241851168511685</v>
      </c>
      <c r="S73" s="77">
        <f>IFERROR(S33*100/'Interim Operational Data'!S33, "N/A")</f>
        <v>11.981368685059119</v>
      </c>
      <c r="T73" s="77">
        <f>IFERROR(T33*100/'Interim Operational Data'!T33, "N/A")</f>
        <v>10.795822164710232</v>
      </c>
      <c r="U73" s="77">
        <f>IFERROR(U33*100/'Interim Operational Data'!U33, "N/A")</f>
        <v>12.557224471264803</v>
      </c>
      <c r="V73" s="77">
        <f>IFERROR(V33*100/'Interim Operational Data'!V33, "N/A")</f>
        <v>6.9414316702819958</v>
      </c>
      <c r="W73" s="77">
        <f>IFERROR(W33*100/'Interim Operational Data'!W33, "N/A")</f>
        <v>60.945162728488633</v>
      </c>
      <c r="X73" s="77">
        <f>IFERROR(X33*100/'Interim Operational Data'!X33, "N/A")</f>
        <v>27.870230290805178</v>
      </c>
      <c r="Y73" s="77">
        <f>IFERROR(Y33*100/'Interim Operational Data'!Y33, "N/A")</f>
        <v>25.966666666666665</v>
      </c>
    </row>
    <row r="74" spans="1:25" x14ac:dyDescent="0.3">
      <c r="A74" s="85" t="s">
        <v>0</v>
      </c>
      <c r="B74" s="2"/>
      <c r="C74" s="2" t="str">
        <f ca="1">IFERROR(IF(Inputs!$E$14 = "Semi-annual",(C73/OFFSET(C73,0,-2,,))-1,(C73/OFFSET(C73,0,-4,,))-1),"")</f>
        <v/>
      </c>
      <c r="D74" s="2" t="str">
        <f ca="1">IFERROR(IF(Inputs!$E$14 = "Semi-annual",(D73/OFFSET(D73,0,-2,,))-1,(D73/OFFSET(D73,0,-4,,))-1),"")</f>
        <v/>
      </c>
      <c r="E74" s="2" t="str">
        <f ca="1">IFERROR(IF(Inputs!$E$14 = "Semi-annual",(E73/OFFSET(E73,0,-2,,))-1,(E73/OFFSET(E73,0,-4,,))-1),"")</f>
        <v/>
      </c>
      <c r="F74" s="2">
        <f ca="1">IFERROR(IF(Inputs!$E$14 = "Semi-annual",(F73/OFFSET(F73,0,-2,,))-1,(F73/OFFSET(F73,0,-4,,))-1),"")</f>
        <v>3.2079504070629872E-2</v>
      </c>
      <c r="G74" s="2">
        <f ca="1">IFERROR(IF(Inputs!$E$14 = "Semi-annual",(G73/OFFSET(G73,0,-2,,))-1,(G73/OFFSET(G73,0,-4,,))-1),"")</f>
        <v>-3.0307927157715908E-2</v>
      </c>
      <c r="H74" s="2">
        <f ca="1">IFERROR(IF(Inputs!$E$14 = "Semi-annual",(H73/OFFSET(H73,0,-2,,))-1,(H73/OFFSET(H73,0,-4,,))-1),"")</f>
        <v>-6.2328789379859528E-2</v>
      </c>
      <c r="I74" s="2">
        <f ca="1">IFERROR(IF(Inputs!$E$14 = "Semi-annual",(I73/OFFSET(I73,0,-2,,))-1,(I73/OFFSET(I73,0,-4,,))-1),"")</f>
        <v>-5.8565978085999171E-2</v>
      </c>
      <c r="J74" s="2">
        <f ca="1">IFERROR(IF(Inputs!$E$14 = "Semi-annual",(J73/OFFSET(J73,0,-2,,))-1,(J73/OFFSET(J73,0,-4,,))-1),"")</f>
        <v>-5.0326424742909159E-2</v>
      </c>
      <c r="K74" s="2">
        <f ca="1">IFERROR(IF(Inputs!$E$14 = "Semi-annual",(K73/OFFSET(K73,0,-2,,))-1,(K73/OFFSET(K73,0,-4,,))-1),"")</f>
        <v>-2.7850166985455171E-2</v>
      </c>
      <c r="L74" s="2">
        <f ca="1">IFERROR(IF(Inputs!$E$14 = "Semi-annual",(L73/OFFSET(L73,0,-2,,))-1,(L73/OFFSET(L73,0,-4,,))-1),"")</f>
        <v>-6.4162734228249252E-2</v>
      </c>
      <c r="M74" s="2">
        <f ca="1">IFERROR(IF(Inputs!$E$14 = "Semi-annual",(M73/OFFSET(M73,0,-2,,))-1,(M73/OFFSET(M73,0,-4,,))-1),"")</f>
        <v>-8.1900635696982027E-3</v>
      </c>
      <c r="N74" s="2">
        <f ca="1">IFERROR(IF(Inputs!$E$14 = "Semi-annual",(N73/OFFSET(N73,0,-2,,))-1,(N73/OFFSET(N73,0,-4,,))-1),"")</f>
        <v>-1.6799617827889524E-3</v>
      </c>
      <c r="O74" s="2">
        <f ca="1">IFERROR(IF(Inputs!$E$14 = "Semi-annual",(O73/OFFSET(O73,0,-2,,))-1,(O73/OFFSET(O73,0,-4,,))-1),"")</f>
        <v>-1.835850854079446E-3</v>
      </c>
      <c r="P74" s="2">
        <f ca="1">IFERROR(IF(Inputs!$E$14 = "Semi-annual",(P73/OFFSET(P73,0,-2,,))-1,(P73/OFFSET(P73,0,-4,,))-1),"")</f>
        <v>3.2751637796777588E-2</v>
      </c>
      <c r="Q74" s="2">
        <f ca="1">IFERROR(IF(Inputs!$E$14 = "Semi-annual",(Q73/OFFSET(Q73,0,-2,,))-1,(Q73/OFFSET(Q73,0,-4,,))-1),"")</f>
        <v>6.124331200925881E-2</v>
      </c>
      <c r="R74" s="2">
        <f ca="1">IFERROR(IF(Inputs!$E$14 = "Semi-annual",(R73/OFFSET(R73,0,-2,,))-1,(R73/OFFSET(R73,0,-4,,))-1),"")</f>
        <v>9.8739378881518292E-3</v>
      </c>
      <c r="S74" s="2">
        <f ca="1">IFERROR(IF(Inputs!$E$14 = "Semi-annual",(S73/OFFSET(S73,0,-2,,))-1,(S73/OFFSET(S73,0,-4,,))-1),"")</f>
        <v>3.9516203222644375E-2</v>
      </c>
      <c r="T74" s="2">
        <f ca="1">IFERROR(IF(Inputs!$E$14 = "Semi-annual",(T73/OFFSET(T73,0,-2,,))-1,(T73/OFFSET(T73,0,-4,,))-1),"")</f>
        <v>0.11654544029963487</v>
      </c>
      <c r="U74" s="2">
        <f ca="1">IFERROR(IF(Inputs!$E$14 = "Semi-annual",(U73/OFFSET(U73,0,-2,,))-1,(U73/OFFSET(U73,0,-4,,))-1),"")</f>
        <v>-3.0347414734731792E-2</v>
      </c>
      <c r="V74" s="2">
        <f ca="1">IFERROR(IF(Inputs!$E$14 = "Semi-annual",(V73/OFFSET(V73,0,-2,,))-1,(V73/OFFSET(V73,0,-4,,))-1),"")</f>
        <v>-0.47579597580825428</v>
      </c>
      <c r="W74" s="2">
        <f ca="1">IFERROR(IF(Inputs!$E$14 = "Semi-annual",(W73/OFFSET(W73,0,-2,,))-1,(W73/OFFSET(W73,0,-4,,))-1),"")</f>
        <v>4.0866611595458062</v>
      </c>
      <c r="X74" s="2">
        <f ca="1">IFERROR(IF(Inputs!$E$14 = "Semi-annual",(X73/OFFSET(X73,0,-2,,))-1,(X73/OFFSET(X73,0,-4,,))-1),"")</f>
        <v>1.581575526679976</v>
      </c>
      <c r="Y74" s="2">
        <f ca="1">IFERROR(IF(Inputs!$E$14 = "Semi-annual",(Y73/OFFSET(Y73,0,-2,,))-1,(Y73/OFFSET(Y73,0,-4,,))-1),"")</f>
        <v>1.0678667269257809</v>
      </c>
    </row>
    <row r="75" spans="1:25" x14ac:dyDescent="0.3">
      <c r="A75" s="85"/>
      <c r="B75" s="218"/>
      <c r="C75" s="218"/>
      <c r="D75" s="218"/>
      <c r="E75" s="218"/>
      <c r="F75" s="218"/>
      <c r="G75" s="218"/>
      <c r="H75" s="218"/>
      <c r="I75" s="218"/>
      <c r="J75" s="218"/>
      <c r="N75" s="218"/>
      <c r="R75" s="218"/>
    </row>
    <row r="76" spans="1:25" x14ac:dyDescent="0.3">
      <c r="A76" s="85" t="s">
        <v>285</v>
      </c>
      <c r="B76" s="21"/>
      <c r="C76" s="21"/>
      <c r="D76" s="21"/>
      <c r="E76" s="21"/>
      <c r="F76" s="21"/>
      <c r="G76" s="21"/>
      <c r="H76" s="21"/>
      <c r="I76" s="21"/>
      <c r="J76" s="21"/>
      <c r="N76" s="21"/>
      <c r="R76" s="21"/>
    </row>
    <row r="77" spans="1:25" x14ac:dyDescent="0.3">
      <c r="A77" s="85" t="s">
        <v>0</v>
      </c>
      <c r="B77" s="2"/>
      <c r="C77" s="61"/>
      <c r="D77" s="61"/>
      <c r="E77" s="61"/>
      <c r="F77" s="61"/>
      <c r="G77" s="61"/>
      <c r="H77" s="61"/>
      <c r="I77" s="61"/>
      <c r="J77" s="61"/>
      <c r="N77" s="61"/>
      <c r="R77" s="61"/>
    </row>
  </sheetData>
  <mergeCells count="2">
    <mergeCell ref="A1:Q1"/>
    <mergeCell ref="U1:Y1"/>
  </mergeCells>
  <pageMargins left="0.70866141732283472" right="0.70866141732283472" top="0.74803149606299213" bottom="0.74803149606299213" header="0.31496062992125984" footer="0.31496062992125984"/>
  <pageSetup paperSize="9" scale="37" orientation="portrait" r:id="rId1"/>
  <headerFooter alignWithMargins="0"/>
  <ignoredErrors>
    <ignoredError sqref="C11:K73"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sheetPr>
  <dimension ref="A1:AB77"/>
  <sheetViews>
    <sheetView view="pageBreakPreview" zoomScale="80" zoomScaleNormal="115" zoomScaleSheetLayoutView="80" workbookViewId="0">
      <pane xSplit="1" ySplit="7" topLeftCell="F8" activePane="bottomRight" state="frozen"/>
      <selection pane="topRight" activeCell="B1" sqref="B1"/>
      <selection pane="bottomLeft" activeCell="A8" sqref="A8"/>
      <selection pane="bottomRight" activeCell="AC50" sqref="AC50"/>
    </sheetView>
  </sheetViews>
  <sheetFormatPr defaultColWidth="8.88671875" defaultRowHeight="14.4" x14ac:dyDescent="0.3"/>
  <cols>
    <col min="1" max="1" width="55" style="13" bestFit="1" customWidth="1"/>
    <col min="2" max="15" width="12.109375" style="13" bestFit="1" customWidth="1"/>
    <col min="16" max="16" width="12.109375" style="13" customWidth="1"/>
    <col min="17" max="17" width="12.109375" style="13" bestFit="1" customWidth="1"/>
    <col min="18" max="21" width="12.109375" style="13" customWidth="1"/>
    <col min="22" max="22" width="10.33203125" style="13" customWidth="1"/>
    <col min="23" max="23" width="10.6640625" style="13" customWidth="1"/>
    <col min="24" max="24" width="11" style="13" customWidth="1"/>
    <col min="25" max="25" width="10.88671875" style="13" customWidth="1"/>
    <col min="26" max="16384" width="8.88671875" style="13"/>
  </cols>
  <sheetData>
    <row r="1" spans="1:28" ht="28.8" x14ac:dyDescent="0.55000000000000004">
      <c r="A1" s="349" t="str">
        <f>IF(Inputs!$E$14 ="Semi-annual",(Inputs!E9 &amp; " - Semi-Annual Cost Analysis"), (Inputs!E9 &amp; " - Qtrly Cost Analysis"))</f>
        <v>Air Canada - Qtrly Cost Analysis</v>
      </c>
      <c r="B1" s="349"/>
      <c r="C1" s="349"/>
      <c r="D1" s="349"/>
      <c r="E1" s="349"/>
      <c r="F1" s="349"/>
      <c r="G1" s="349"/>
      <c r="H1" s="349"/>
      <c r="I1" s="349"/>
      <c r="J1" s="349"/>
      <c r="K1" s="349"/>
      <c r="L1" s="349"/>
      <c r="M1" s="349"/>
      <c r="N1" s="349"/>
      <c r="O1" s="349"/>
      <c r="P1" s="349"/>
      <c r="Q1" s="349"/>
      <c r="R1" s="320"/>
      <c r="S1" s="320"/>
      <c r="T1" s="320"/>
      <c r="U1" s="349"/>
      <c r="V1" s="349"/>
      <c r="W1" s="349"/>
      <c r="X1" s="349"/>
      <c r="Y1" s="349"/>
    </row>
    <row r="2" spans="1:28" x14ac:dyDescent="0.3">
      <c r="A2" s="3"/>
      <c r="B2" s="3" t="str">
        <f>'Interim Operational Data'!B2</f>
        <v>Q1</v>
      </c>
      <c r="C2" s="3" t="str">
        <f>'Interim Operational Data'!C2</f>
        <v>Q2</v>
      </c>
      <c r="D2" s="3" t="str">
        <f>'Interim Operational Data'!D2</f>
        <v>Q3</v>
      </c>
      <c r="E2" s="3" t="str">
        <f>'Interim Operational Data'!E2</f>
        <v>Q4</v>
      </c>
      <c r="F2" s="3" t="str">
        <f>'Interim Operational Data'!F2</f>
        <v>Q1</v>
      </c>
      <c r="G2" s="3" t="str">
        <f>'Interim Operational Data'!G2</f>
        <v>Q2</v>
      </c>
      <c r="H2" s="3" t="str">
        <f>'Interim Operational Data'!H2</f>
        <v>Q3</v>
      </c>
      <c r="I2" s="3" t="str">
        <f>'Interim Operational Data'!I2</f>
        <v>Q4</v>
      </c>
      <c r="J2" s="3" t="str">
        <f>'Interim Operational Data'!J2</f>
        <v>Q1</v>
      </c>
      <c r="K2" s="3" t="str">
        <f>'Interim Operational Data'!K2</f>
        <v>Q2</v>
      </c>
      <c r="L2" s="3" t="str">
        <f>'Interim Operational Data'!L2</f>
        <v>Q3</v>
      </c>
      <c r="M2" s="3" t="str">
        <f>'Interim Operational Data'!M2</f>
        <v>Q4</v>
      </c>
      <c r="N2" s="3" t="str">
        <f>'Interim Operational Data'!N2</f>
        <v>Q1</v>
      </c>
      <c r="O2" s="3" t="str">
        <f>'Interim Operational Data'!O2</f>
        <v>Q2</v>
      </c>
      <c r="P2" s="3" t="str">
        <f>'Interim Operational Data'!P2</f>
        <v>Q3</v>
      </c>
      <c r="Q2" s="3" t="str">
        <f>'Interim Operational Data'!Q2</f>
        <v>Q4</v>
      </c>
      <c r="R2" s="3" t="str">
        <f>'Interim Operational Data'!R2</f>
        <v>Q1</v>
      </c>
      <c r="S2" s="3" t="str">
        <f>'Interim Operational Data'!S2</f>
        <v>Q2</v>
      </c>
      <c r="T2" s="3" t="str">
        <f>'Interim Operational Data'!T2</f>
        <v>Q3</v>
      </c>
      <c r="U2" s="3" t="str">
        <f>'Interim Operational Data'!U2</f>
        <v>Q4</v>
      </c>
      <c r="V2" s="3" t="str">
        <f>'Interim Operational Data'!V2</f>
        <v>Q1</v>
      </c>
      <c r="W2" s="3" t="str">
        <f>'Interim Operational Data'!W2</f>
        <v>Q2</v>
      </c>
      <c r="X2" s="3" t="str">
        <f>'Interim Operational Data'!X2</f>
        <v>Q3</v>
      </c>
      <c r="Y2" s="3" t="str">
        <f>'Interim Operational Data'!Y2</f>
        <v>Q4</v>
      </c>
      <c r="Z2" s="16"/>
      <c r="AA2" s="16"/>
      <c r="AB2" s="16"/>
    </row>
    <row r="3" spans="1:28" x14ac:dyDescent="0.3">
      <c r="A3" s="3"/>
      <c r="B3" s="67">
        <f>'Interim Operational Data'!B3</f>
        <v>42094</v>
      </c>
      <c r="C3" s="67">
        <f>'Interim Operational Data'!C3</f>
        <v>42185</v>
      </c>
      <c r="D3" s="67">
        <f>'Interim Operational Data'!D3</f>
        <v>42277</v>
      </c>
      <c r="E3" s="67">
        <f>'Interim Operational Data'!E3</f>
        <v>42369</v>
      </c>
      <c r="F3" s="67">
        <f>'Interim Operational Data'!F3</f>
        <v>42460</v>
      </c>
      <c r="G3" s="67">
        <f>'Interim Operational Data'!G3</f>
        <v>42551</v>
      </c>
      <c r="H3" s="67">
        <f>'Interim Operational Data'!H3</f>
        <v>42643</v>
      </c>
      <c r="I3" s="67">
        <f>'Interim Operational Data'!I3</f>
        <v>42735</v>
      </c>
      <c r="J3" s="67">
        <f>'Interim Operational Data'!J3</f>
        <v>42825</v>
      </c>
      <c r="K3" s="67">
        <f>'Interim Operational Data'!K3</f>
        <v>42916</v>
      </c>
      <c r="L3" s="67">
        <f>'Interim Operational Data'!L3</f>
        <v>43008</v>
      </c>
      <c r="M3" s="67">
        <f>'Interim Operational Data'!M3</f>
        <v>43100</v>
      </c>
      <c r="N3" s="67">
        <f>'Interim Operational Data'!N3</f>
        <v>43190</v>
      </c>
      <c r="O3" s="67">
        <f>'Interim Operational Data'!O3</f>
        <v>43281</v>
      </c>
      <c r="P3" s="67">
        <f>'Interim Operational Data'!P3</f>
        <v>43373</v>
      </c>
      <c r="Q3" s="67">
        <f>'Interim Operational Data'!Q3</f>
        <v>43465</v>
      </c>
      <c r="R3" s="67">
        <f>'Interim Operational Data'!R3</f>
        <v>43555</v>
      </c>
      <c r="S3" s="67">
        <f>'Interim Operational Data'!S3</f>
        <v>43646</v>
      </c>
      <c r="T3" s="67">
        <f>'Interim Operational Data'!T3</f>
        <v>43738</v>
      </c>
      <c r="U3" s="67">
        <f>'Interim Operational Data'!U3</f>
        <v>43830</v>
      </c>
      <c r="V3" s="67">
        <f>'Interim Operational Data'!V3</f>
        <v>43921</v>
      </c>
      <c r="W3" s="67">
        <f>'Interim Operational Data'!W3</f>
        <v>44012</v>
      </c>
      <c r="X3" s="67">
        <f>'Interim Operational Data'!X3</f>
        <v>44104</v>
      </c>
      <c r="Y3" s="67">
        <f>'Interim Operational Data'!Y3</f>
        <v>44196</v>
      </c>
      <c r="Z3" s="16"/>
      <c r="AA3" s="16"/>
      <c r="AB3" s="16"/>
    </row>
    <row r="4" spans="1:28" x14ac:dyDescent="0.3">
      <c r="A4" s="3"/>
      <c r="B4" s="3" t="s">
        <v>1</v>
      </c>
      <c r="C4" s="3" t="s">
        <v>1</v>
      </c>
      <c r="D4" s="3" t="s">
        <v>1</v>
      </c>
      <c r="E4" s="3" t="s">
        <v>1</v>
      </c>
      <c r="F4" s="3" t="s">
        <v>1</v>
      </c>
      <c r="G4" s="3" t="s">
        <v>1</v>
      </c>
      <c r="H4" s="3" t="s">
        <v>1</v>
      </c>
      <c r="I4" s="3" t="s">
        <v>1</v>
      </c>
      <c r="J4" s="3" t="s">
        <v>1</v>
      </c>
      <c r="K4" s="3" t="s">
        <v>1</v>
      </c>
      <c r="L4" s="3" t="s">
        <v>1</v>
      </c>
      <c r="M4" s="3" t="s">
        <v>1</v>
      </c>
      <c r="N4" s="3" t="s">
        <v>1</v>
      </c>
      <c r="O4" s="3" t="s">
        <v>1</v>
      </c>
      <c r="P4" s="3" t="s">
        <v>1</v>
      </c>
      <c r="Q4" s="3" t="s">
        <v>1</v>
      </c>
      <c r="R4" s="3" t="s">
        <v>1</v>
      </c>
      <c r="S4" s="3" t="s">
        <v>1</v>
      </c>
      <c r="T4" s="3" t="s">
        <v>1</v>
      </c>
      <c r="U4" s="3" t="s">
        <v>1</v>
      </c>
      <c r="V4" s="3" t="s">
        <v>1</v>
      </c>
      <c r="W4" s="3" t="s">
        <v>1</v>
      </c>
      <c r="X4" s="3" t="s">
        <v>1</v>
      </c>
      <c r="Y4" s="3" t="s">
        <v>1</v>
      </c>
      <c r="Z4" s="16"/>
      <c r="AA4" s="16"/>
      <c r="AB4" s="16"/>
    </row>
    <row r="5" spans="1:28" x14ac:dyDescent="0.3">
      <c r="A5" s="3"/>
      <c r="B5" s="3" t="str">
        <f>Inputs!$E$19</f>
        <v>US$</v>
      </c>
      <c r="C5" s="3" t="str">
        <f>Inputs!$E$19</f>
        <v>US$</v>
      </c>
      <c r="D5" s="3" t="str">
        <f>Inputs!$E$19</f>
        <v>US$</v>
      </c>
      <c r="E5" s="3" t="str">
        <f>Inputs!$E$19</f>
        <v>US$</v>
      </c>
      <c r="F5" s="3" t="str">
        <f>Inputs!$E$19</f>
        <v>US$</v>
      </c>
      <c r="G5" s="3" t="str">
        <f>Inputs!$E$19</f>
        <v>US$</v>
      </c>
      <c r="H5" s="3" t="str">
        <f>Inputs!$E$19</f>
        <v>US$</v>
      </c>
      <c r="I5" s="3" t="str">
        <f>Inputs!$E$19</f>
        <v>US$</v>
      </c>
      <c r="J5" s="3" t="str">
        <f>Inputs!$E$19</f>
        <v>US$</v>
      </c>
      <c r="K5" s="3" t="str">
        <f>Inputs!$E$19</f>
        <v>US$</v>
      </c>
      <c r="L5" s="3" t="str">
        <f>Inputs!$E$19</f>
        <v>US$</v>
      </c>
      <c r="M5" s="3" t="str">
        <f>Inputs!$E$19</f>
        <v>US$</v>
      </c>
      <c r="N5" s="3" t="str">
        <f>Inputs!$E$19</f>
        <v>US$</v>
      </c>
      <c r="O5" s="3" t="str">
        <f>Inputs!$E$19</f>
        <v>US$</v>
      </c>
      <c r="P5" s="3" t="str">
        <f>Inputs!$E$19</f>
        <v>US$</v>
      </c>
      <c r="Q5" s="3" t="str">
        <f>Inputs!$E$19</f>
        <v>US$</v>
      </c>
      <c r="R5" s="3" t="str">
        <f>Inputs!$E$19</f>
        <v>US$</v>
      </c>
      <c r="S5" s="3" t="str">
        <f>Inputs!$E$19</f>
        <v>US$</v>
      </c>
      <c r="T5" s="3" t="str">
        <f>Inputs!$E$19</f>
        <v>US$</v>
      </c>
      <c r="U5" s="3" t="str">
        <f>Inputs!$E$19</f>
        <v>US$</v>
      </c>
      <c r="V5" s="3" t="str">
        <f>Inputs!$E$19</f>
        <v>US$</v>
      </c>
      <c r="W5" s="3" t="str">
        <f>Inputs!$E$19</f>
        <v>US$</v>
      </c>
      <c r="X5" s="3" t="str">
        <f>Inputs!$E$19</f>
        <v>US$</v>
      </c>
      <c r="Y5" s="3" t="str">
        <f>Inputs!$E$19</f>
        <v>US$</v>
      </c>
      <c r="Z5" s="16"/>
      <c r="AA5" s="16"/>
      <c r="AB5" s="16"/>
    </row>
    <row r="6" spans="1:28" x14ac:dyDescent="0.3">
      <c r="A6" s="3"/>
      <c r="B6" s="3" t="str">
        <f>(Inputs!$E$19 &amp; " / " &amp;Inputs!$E$18)</f>
        <v>US$ / CAD</v>
      </c>
      <c r="C6" s="3" t="str">
        <f>(Inputs!$E$19 &amp; " / " &amp;Inputs!$E$18)</f>
        <v>US$ / CAD</v>
      </c>
      <c r="D6" s="3" t="str">
        <f>(Inputs!$E$19 &amp; " / " &amp;Inputs!$E$18)</f>
        <v>US$ / CAD</v>
      </c>
      <c r="E6" s="3" t="str">
        <f>(Inputs!$E$19 &amp; " / " &amp;Inputs!$E$18)</f>
        <v>US$ / CAD</v>
      </c>
      <c r="F6" s="3" t="str">
        <f>(Inputs!$E$19 &amp; " / " &amp;Inputs!$E$18)</f>
        <v>US$ / CAD</v>
      </c>
      <c r="G6" s="3" t="str">
        <f>(Inputs!$E$19 &amp; " / " &amp;Inputs!$E$18)</f>
        <v>US$ / CAD</v>
      </c>
      <c r="H6" s="3" t="str">
        <f>(Inputs!$E$19 &amp; " / " &amp;Inputs!$E$18)</f>
        <v>US$ / CAD</v>
      </c>
      <c r="I6" s="3" t="str">
        <f>(Inputs!$E$19 &amp; " / " &amp;Inputs!$E$18)</f>
        <v>US$ / CAD</v>
      </c>
      <c r="J6" s="3" t="str">
        <f>(Inputs!$E$19 &amp; " / " &amp;Inputs!$E$18)</f>
        <v>US$ / CAD</v>
      </c>
      <c r="K6" s="3" t="str">
        <f>(Inputs!$E$19 &amp; " / " &amp;Inputs!$E$18)</f>
        <v>US$ / CAD</v>
      </c>
      <c r="L6" s="3" t="str">
        <f>(Inputs!$E$19 &amp; " / " &amp;Inputs!$E$18)</f>
        <v>US$ / CAD</v>
      </c>
      <c r="M6" s="3" t="str">
        <f>(Inputs!$E$19 &amp; " / " &amp;Inputs!$E$18)</f>
        <v>US$ / CAD</v>
      </c>
      <c r="N6" s="3" t="str">
        <f>(Inputs!$E$19 &amp; " / " &amp;Inputs!$E$18)</f>
        <v>US$ / CAD</v>
      </c>
      <c r="O6" s="3" t="str">
        <f>(Inputs!$E$19 &amp; " / " &amp;Inputs!$E$18)</f>
        <v>US$ / CAD</v>
      </c>
      <c r="P6" s="3" t="str">
        <f>(Inputs!$E$19 &amp; " / " &amp;Inputs!$E$18)</f>
        <v>US$ / CAD</v>
      </c>
      <c r="Q6" s="3" t="str">
        <f>(Inputs!$E$19 &amp; " / " &amp;Inputs!$E$18)</f>
        <v>US$ / CAD</v>
      </c>
      <c r="R6" s="3" t="str">
        <f>(Inputs!$E$19 &amp; " / " &amp;Inputs!$E$18)</f>
        <v>US$ / CAD</v>
      </c>
      <c r="S6" s="3" t="str">
        <f>(Inputs!$E$19 &amp; " / " &amp;Inputs!$E$18)</f>
        <v>US$ / CAD</v>
      </c>
      <c r="T6" s="3" t="str">
        <f>(Inputs!$E$19 &amp; " / " &amp;Inputs!$E$18)</f>
        <v>US$ / CAD</v>
      </c>
      <c r="U6" s="3" t="str">
        <f>(Inputs!$E$19 &amp; " / " &amp;Inputs!$E$18)</f>
        <v>US$ / CAD</v>
      </c>
      <c r="V6" s="3" t="str">
        <f>(Inputs!$E$19 &amp; " / " &amp;Inputs!$E$18)</f>
        <v>US$ / CAD</v>
      </c>
      <c r="W6" s="3" t="str">
        <f>(Inputs!$E$19 &amp; " / " &amp;Inputs!$E$18)</f>
        <v>US$ / CAD</v>
      </c>
      <c r="X6" s="3" t="str">
        <f>(Inputs!$E$19 &amp; " / " &amp;Inputs!$E$18)</f>
        <v>US$ / CAD</v>
      </c>
      <c r="Y6" s="3" t="str">
        <f>(Inputs!$E$19 &amp; " / " &amp;Inputs!$E$18)</f>
        <v>US$ / CAD</v>
      </c>
      <c r="Z6" s="16"/>
      <c r="AA6" s="16"/>
      <c r="AB6" s="16"/>
    </row>
    <row r="7" spans="1:28" x14ac:dyDescent="0.3">
      <c r="A7" s="3"/>
      <c r="B7" s="83">
        <f>Inputs!E28</f>
        <v>1.2383299999999999</v>
      </c>
      <c r="C7" s="83">
        <f>Inputs!F28</f>
        <v>1.22967</v>
      </c>
      <c r="D7" s="83">
        <f>Inputs!G28</f>
        <v>1.30657</v>
      </c>
      <c r="E7" s="83">
        <f>Inputs!H28</f>
        <v>1.33456</v>
      </c>
      <c r="F7" s="83">
        <f>Inputs!I28</f>
        <v>1.3741099999999999</v>
      </c>
      <c r="G7" s="83">
        <f>Inputs!J28</f>
        <v>1.2889299999999999</v>
      </c>
      <c r="H7" s="83">
        <f>Inputs!K28</f>
        <v>1.3035699999999999</v>
      </c>
      <c r="I7" s="83">
        <f>Inputs!L28</f>
        <v>1.3345</v>
      </c>
      <c r="J7" s="83">
        <f>Inputs!M28</f>
        <v>1.32372</v>
      </c>
      <c r="K7" s="83">
        <f>Inputs!N28</f>
        <v>1.347</v>
      </c>
      <c r="L7" s="83">
        <f>Inputs!O28</f>
        <v>1.2538199999999999</v>
      </c>
      <c r="M7" s="83">
        <f>Inputs!P28</f>
        <v>1.2704446153846154</v>
      </c>
      <c r="N7" s="83">
        <f>Inputs!Q28</f>
        <v>1.2640890625000001</v>
      </c>
      <c r="O7" s="83">
        <f>Inputs!R28</f>
        <v>1.290776153846154</v>
      </c>
      <c r="P7" s="83">
        <f>Inputs!S28</f>
        <v>1.307092153846154</v>
      </c>
      <c r="Q7" s="83">
        <f>Inputs!T28</f>
        <v>1.3207999999999998</v>
      </c>
      <c r="R7" s="83">
        <f>Inputs!U28</f>
        <v>1.3297359375000002</v>
      </c>
      <c r="S7" s="83">
        <f>Inputs!V28</f>
        <v>1.3377353846153852</v>
      </c>
      <c r="T7" s="83">
        <f>Inputs!W28</f>
        <v>1.3203575757575758</v>
      </c>
      <c r="U7" s="83">
        <f>Inputs!X28</f>
        <v>1.3200092999999999</v>
      </c>
      <c r="V7" s="83">
        <f>Inputs!Y28</f>
        <v>1.3416946666666665</v>
      </c>
      <c r="W7" s="83">
        <f>Inputs!Z28</f>
        <v>1.3868020000000001</v>
      </c>
      <c r="X7" s="83">
        <f>Inputs!AA28</f>
        <v>1.3448500000000001</v>
      </c>
      <c r="Y7" s="83">
        <f>Inputs!AB28</f>
        <v>1.3321000000000001</v>
      </c>
      <c r="Z7" s="16"/>
      <c r="AA7" s="16"/>
      <c r="AB7" s="16"/>
    </row>
    <row r="8" spans="1:28" x14ac:dyDescent="0.3">
      <c r="A8" s="8" t="s">
        <v>284</v>
      </c>
      <c r="B8" s="10"/>
      <c r="C8" s="10"/>
      <c r="D8" s="10"/>
      <c r="E8" s="10"/>
      <c r="F8" s="10"/>
      <c r="G8" s="10"/>
      <c r="H8" s="18"/>
      <c r="I8" s="18"/>
      <c r="J8" s="18"/>
      <c r="K8" s="18"/>
      <c r="L8" s="18"/>
      <c r="M8" s="18"/>
      <c r="N8" s="18"/>
      <c r="O8" s="18"/>
      <c r="P8" s="18"/>
      <c r="Q8" s="18"/>
      <c r="R8" s="18"/>
      <c r="S8" s="18"/>
      <c r="T8" s="18"/>
      <c r="U8" s="18"/>
      <c r="V8" s="18"/>
      <c r="W8" s="18"/>
      <c r="X8" s="18"/>
      <c r="Y8" s="18"/>
    </row>
    <row r="9" spans="1:28" x14ac:dyDescent="0.3">
      <c r="A9" s="85" t="s">
        <v>15</v>
      </c>
      <c r="B9" s="21">
        <f>-'Interim Inc Statement US$'!B15</f>
        <v>458.68225755654794</v>
      </c>
      <c r="C9" s="21">
        <f>-'Interim Inc Statement US$'!C15</f>
        <v>461.91254564232679</v>
      </c>
      <c r="D9" s="21">
        <f>-'Interim Inc Statement US$'!D15</f>
        <v>457.68692071607336</v>
      </c>
      <c r="E9" s="21">
        <f>-'Interim Inc Statement US$'!E15</f>
        <v>442.09327418774728</v>
      </c>
      <c r="F9" s="21">
        <f>-'Interim Inc Statement US$'!F15</f>
        <v>442.46821579058445</v>
      </c>
      <c r="G9" s="21">
        <f>-'Interim Inc Statement US$'!G15</f>
        <v>474.03660400487229</v>
      </c>
      <c r="H9" s="21">
        <f>-'Interim Inc Statement US$'!H15</f>
        <v>504.76767645772765</v>
      </c>
      <c r="I9" s="21">
        <f>-'Interim Inc Statement US$'!I15</f>
        <v>474.33495691270139</v>
      </c>
      <c r="J9" s="21">
        <f>-'Interim Inc Statement US$'!J15</f>
        <v>486.50772066600189</v>
      </c>
      <c r="K9" s="21">
        <f>-'Interim Inc Statement US$'!K15</f>
        <v>492.20489977728283</v>
      </c>
      <c r="L9" s="21">
        <f>-'Interim Inc Statement US$'!L15</f>
        <v>527.98647333748067</v>
      </c>
      <c r="M9" s="21">
        <f>-'Interim Inc Statement US$'!M15</f>
        <v>552.56245844882892</v>
      </c>
      <c r="N9" s="21">
        <f>-'Interim Inc Statement US$'!N15</f>
        <v>553.75845006965244</v>
      </c>
      <c r="O9" s="21">
        <f>-'Interim Inc Statement US$'!O15</f>
        <v>550.83137217976775</v>
      </c>
      <c r="P9" s="21">
        <f>-'Interim Inc Statement US$'!P15</f>
        <v>568.43734989434563</v>
      </c>
      <c r="Q9" s="21">
        <f>-'Interim Inc Statement US$'!Q15</f>
        <v>544.36705027256221</v>
      </c>
      <c r="R9" s="21">
        <f>-'Interim Inc Statement US$'!R15</f>
        <v>600.87117860571459</v>
      </c>
      <c r="S9" s="21">
        <f>-'Interim Inc Statement US$'!S15</f>
        <v>583.8224876024691</v>
      </c>
      <c r="T9" s="21">
        <f>-'Interim Inc Statement US$'!T15</f>
        <v>596.80802721025987</v>
      </c>
      <c r="U9" s="21">
        <f>-'Interim Inc Statement US$'!U15</f>
        <v>618.17746284060274</v>
      </c>
      <c r="V9" s="21">
        <f>-'Interim Inc Statement US$'!V15</f>
        <v>593.27954397970336</v>
      </c>
      <c r="W9" s="21">
        <f>-'Interim Inc Statement US$'!W15</f>
        <v>269.68521822149086</v>
      </c>
      <c r="X9" s="21">
        <f>-'Interim Inc Statement US$'!X15</f>
        <v>212.6631222812953</v>
      </c>
      <c r="Y9" s="21">
        <f>-'Interim Inc Statement US$'!Y15</f>
        <v>269.49928684032727</v>
      </c>
    </row>
    <row r="10" spans="1:28" x14ac:dyDescent="0.3">
      <c r="A10" s="85" t="s">
        <v>0</v>
      </c>
      <c r="B10" s="2"/>
      <c r="C10" s="2" t="str">
        <f ca="1">IFERROR(IF(Inputs!$E$14 = "Semi-annual",(C9/OFFSET(C9,0,-2,,))-1,(C9/OFFSET(C9,0,-4,,))-1),"")</f>
        <v/>
      </c>
      <c r="D10" s="2" t="str">
        <f ca="1">IFERROR(IF(Inputs!$E$14 = "Semi-annual",(D9/OFFSET(D9,0,-2,,))-1,(D9/OFFSET(D9,0,-4,,))-1),"")</f>
        <v/>
      </c>
      <c r="E10" s="2" t="str">
        <f ca="1">IFERROR(IF(Inputs!$E$14 = "Semi-annual",(E9/OFFSET(E9,0,-2,,))-1,(E9/OFFSET(E9,0,-4,,))-1),"")</f>
        <v/>
      </c>
      <c r="F10" s="2">
        <f ca="1">IFERROR(IF(Inputs!$E$14 = "Semi-annual",(F9/OFFSET(F9,0,-2,,))-1,(F9/OFFSET(F9,0,-4,,))-1),"")</f>
        <v>-3.534918017613653E-2</v>
      </c>
      <c r="G10" s="2">
        <f ca="1">IFERROR(IF(Inputs!$E$14 = "Semi-annual",(G9/OFFSET(G9,0,-2,,))-1,(G9/OFFSET(G9,0,-4,,))-1),"")</f>
        <v>2.6247519096252336E-2</v>
      </c>
      <c r="H10" s="2">
        <f ca="1">IFERROR(IF(Inputs!$E$14 = "Semi-annual",(H9/OFFSET(H9,0,-2,,))-1,(H9/OFFSET(H9,0,-4,,))-1),"")</f>
        <v>0.10286672747386838</v>
      </c>
      <c r="I10" s="2">
        <f ca="1">IFERROR(IF(Inputs!$E$14 = "Semi-annual",(I9/OFFSET(I9,0,-2,,))-1,(I9/OFFSET(I9,0,-4,,))-1),"")</f>
        <v>7.2929593385448799E-2</v>
      </c>
      <c r="J10" s="2">
        <f ca="1">IFERROR(IF(Inputs!$E$14 = "Semi-annual",(J9/OFFSET(J9,0,-2,,))-1,(J9/OFFSET(J9,0,-4,,))-1),"")</f>
        <v>9.9531454020328702E-2</v>
      </c>
      <c r="K10" s="2">
        <f ca="1">IFERROR(IF(Inputs!$E$14 = "Semi-annual",(K9/OFFSET(K9,0,-2,,))-1,(K9/OFFSET(K9,0,-4,,))-1),"")</f>
        <v>3.832677818319663E-2</v>
      </c>
      <c r="L10" s="2">
        <f ca="1">IFERROR(IF(Inputs!$E$14 = "Semi-annual",(L9/OFFSET(L9,0,-2,,))-1,(L9/OFFSET(L9,0,-4,,))-1),"")</f>
        <v>4.5998977277415865E-2</v>
      </c>
      <c r="M10" s="2">
        <f ca="1">IFERROR(IF(Inputs!$E$14 = "Semi-annual",(M9/OFFSET(M9,0,-2,,))-1,(M9/OFFSET(M9,0,-4,,))-1),"")</f>
        <v>0.16492038041068269</v>
      </c>
      <c r="N10" s="2">
        <f ca="1">IFERROR(IF(Inputs!$E$14 = "Semi-annual",(N9/OFFSET(N9,0,-2,,))-1,(N9/OFFSET(N9,0,-4,,))-1),"")</f>
        <v>0.13823157690403765</v>
      </c>
      <c r="O10" s="2">
        <f ca="1">IFERROR(IF(Inputs!$E$14 = "Semi-annual",(O9/OFFSET(O9,0,-2,,))-1,(O9/OFFSET(O9,0,-4,,))-1),"")</f>
        <v>0.11910989189464138</v>
      </c>
      <c r="P10" s="2">
        <f ca="1">IFERROR(IF(Inputs!$E$14 = "Semi-annual",(P9/OFFSET(P9,0,-2,,))-1,(P9/OFFSET(P9,0,-4,,))-1),"")</f>
        <v>7.66134713663571E-2</v>
      </c>
      <c r="Q10" s="2">
        <f ca="1">IFERROR(IF(Inputs!$E$14 = "Semi-annual",(Q9/OFFSET(Q9,0,-2,,))-1,(Q9/OFFSET(Q9,0,-4,,))-1),"")</f>
        <v>-1.4831641294041464E-2</v>
      </c>
      <c r="R10" s="2">
        <f ca="1">IFERROR(IF(Inputs!$E$14 = "Semi-annual",(R9/OFFSET(R9,0,-2,,))-1,(R9/OFFSET(R9,0,-4,,))-1),"")</f>
        <v>8.5078121209954061E-2</v>
      </c>
      <c r="S10" s="2">
        <f ca="1">IFERROR(IF(Inputs!$E$14 = "Semi-annual",(S9/OFFSET(S9,0,-2,,))-1,(S9/OFFSET(S9,0,-4,,))-1),"")</f>
        <v>5.9893312343753724E-2</v>
      </c>
      <c r="T10" s="2">
        <f ca="1">IFERROR(IF(Inputs!$E$14 = "Semi-annual",(T9/OFFSET(T9,0,-2,,))-1,(T9/OFFSET(T9,0,-4,,))-1),"")</f>
        <v>4.9909945785912013E-2</v>
      </c>
      <c r="U10" s="2">
        <f ca="1">IFERROR(IF(Inputs!$E$14 = "Semi-annual",(U9/OFFSET(U9,0,-2,,))-1,(U9/OFFSET(U9,0,-4,,))-1),"")</f>
        <v>0.13558941991636697</v>
      </c>
      <c r="V10" s="2">
        <f ca="1">IFERROR(IF(Inputs!$E$14 = "Semi-annual",(V9/OFFSET(V9,0,-2,,))-1,(V9/OFFSET(V9,0,-4,,))-1),"")</f>
        <v>-1.2634379707855414E-2</v>
      </c>
      <c r="W10" s="2">
        <f ca="1">IFERROR(IF(Inputs!$E$14 = "Semi-annual",(W9/OFFSET(W9,0,-2,,))-1,(W9/OFFSET(W9,0,-4,,))-1),"")</f>
        <v>-0.53806983467015335</v>
      </c>
      <c r="X10" s="2">
        <f ca="1">IFERROR(IF(Inputs!$E$14 = "Semi-annual",(X9/OFFSET(X9,0,-2,,))-1,(X9/OFFSET(X9,0,-4,,))-1),"")</f>
        <v>-0.64366578097922855</v>
      </c>
      <c r="Y10" s="2">
        <f ca="1">IFERROR(IF(Inputs!$E$14 = "Semi-annual",(Y9/OFFSET(Y9,0,-2,,))-1,(Y9/OFFSET(Y9,0,-4,,))-1),"")</f>
        <v>-0.5640421997884808</v>
      </c>
    </row>
    <row r="11" spans="1:28" x14ac:dyDescent="0.3">
      <c r="A11" s="85" t="s">
        <v>16</v>
      </c>
      <c r="B11" s="21">
        <f>-'Interim Inc Statement US$'!B16</f>
        <v>478.06319801668377</v>
      </c>
      <c r="C11" s="21">
        <f>-'Interim Inc Statement US$'!C16</f>
        <v>526.9706506623728</v>
      </c>
      <c r="D11" s="21">
        <f>-'Interim Inc Statement US$'!D16</f>
        <v>533.45783233963732</v>
      </c>
      <c r="E11" s="21">
        <f>-'Interim Inc Statement US$'!E16</f>
        <v>394.88670423210647</v>
      </c>
      <c r="F11" s="21">
        <f>-'Interim Inc Statement US$'!F16</f>
        <v>324.57372408322482</v>
      </c>
      <c r="G11" s="21">
        <f>-'Interim Inc Statement US$'!G16</f>
        <v>408.86626892073275</v>
      </c>
      <c r="H11" s="21">
        <f>-'Interim Inc Statement US$'!H16</f>
        <v>543.12388287548811</v>
      </c>
      <c r="I11" s="21">
        <f>-'Interim Inc Statement US$'!I16</f>
        <v>448.10790558261522</v>
      </c>
      <c r="J11" s="21">
        <f>-'Interim Inc Statement US$'!J16</f>
        <v>497.83942223430938</v>
      </c>
      <c r="K11" s="21">
        <f>-'Interim Inc Statement US$'!K16</f>
        <v>520.41573867854493</v>
      </c>
      <c r="L11" s="21">
        <f>-'Interim Inc Statement US$'!L16</f>
        <v>750.5064522818268</v>
      </c>
      <c r="M11" s="21">
        <f>-'Interim Inc Statement US$'!M16</f>
        <v>578.53761675197904</v>
      </c>
      <c r="N11" s="21">
        <f>-'Interim Inc Statement US$'!N16</f>
        <v>652.64388758209031</v>
      </c>
      <c r="O11" s="21">
        <f>-'Interim Inc Statement US$'!O16</f>
        <v>746.83747226623927</v>
      </c>
      <c r="P11" s="21">
        <f>-'Interim Inc Statement US$'!P16</f>
        <v>1048.8931449598222</v>
      </c>
      <c r="Q11" s="21">
        <f>-'Interim Inc Statement US$'!Q16</f>
        <v>612.50757116898865</v>
      </c>
      <c r="R11" s="21">
        <f>-'Interim Inc Statement US$'!R16</f>
        <v>662.53755738627603</v>
      </c>
      <c r="S11" s="21">
        <f>-'Interim Inc Statement US$'!S16</f>
        <v>740.80420642003446</v>
      </c>
      <c r="T11" s="21">
        <f>-'Interim Inc Statement US$'!T16</f>
        <v>827.80605804671825</v>
      </c>
      <c r="U11" s="21">
        <f>-'Interim Inc Statement US$'!U16</f>
        <v>679.54066687257432</v>
      </c>
      <c r="V11" s="21">
        <f>-'Interim Inc Statement US$'!V16</f>
        <v>623.09258639074369</v>
      </c>
      <c r="W11" s="21">
        <f>-'Interim Inc Statement US$'!W16</f>
        <v>89.414350426376657</v>
      </c>
      <c r="X11" s="21">
        <f>-'Interim Inc Statement US$'!X16</f>
        <v>130.12603636093243</v>
      </c>
      <c r="Y11" s="21">
        <f>-'Interim Inc Statement US$'!Y16</f>
        <v>140.37985136251032</v>
      </c>
    </row>
    <row r="12" spans="1:28" x14ac:dyDescent="0.3">
      <c r="A12" s="85" t="s">
        <v>0</v>
      </c>
      <c r="B12" s="2"/>
      <c r="C12" s="2" t="str">
        <f ca="1">IFERROR(IF(Inputs!$E$14 = "Semi-annual",(C11/OFFSET(C11,0,-2,,))-1,(C11/OFFSET(C11,0,-4,,))-1),"")</f>
        <v/>
      </c>
      <c r="D12" s="2" t="str">
        <f ca="1">IFERROR(IF(Inputs!$E$14 = "Semi-annual",(D11/OFFSET(D11,0,-2,,))-1,(D11/OFFSET(D11,0,-4,,))-1),"")</f>
        <v/>
      </c>
      <c r="E12" s="2" t="str">
        <f ca="1">IFERROR(IF(Inputs!$E$14 = "Semi-annual",(E11/OFFSET(E11,0,-2,,))-1,(E11/OFFSET(E11,0,-4,,))-1),"")</f>
        <v/>
      </c>
      <c r="F12" s="2">
        <f ca="1">IFERROR(IF(Inputs!$E$14 = "Semi-annual",(F11/OFFSET(F11,0,-2,,))-1,(F11/OFFSET(F11,0,-4,,))-1),"")</f>
        <v>-0.32106523691895306</v>
      </c>
      <c r="G12" s="2">
        <f ca="1">IFERROR(IF(Inputs!$E$14 = "Semi-annual",(G11/OFFSET(G11,0,-2,,))-1,(G11/OFFSET(G11,0,-4,,))-1),"")</f>
        <v>-0.22411946774111502</v>
      </c>
      <c r="H12" s="2">
        <f ca="1">IFERROR(IF(Inputs!$E$14 = "Semi-annual",(H11/OFFSET(H11,0,-2,,))-1,(H11/OFFSET(H11,0,-4,,))-1),"")</f>
        <v>1.8119614990855792E-2</v>
      </c>
      <c r="I12" s="2">
        <f ca="1">IFERROR(IF(Inputs!$E$14 = "Semi-annual",(I11/OFFSET(I11,0,-2,,))-1,(I11/OFFSET(I11,0,-4,,))-1),"")</f>
        <v>0.13477587566287474</v>
      </c>
      <c r="J12" s="2">
        <f ca="1">IFERROR(IF(Inputs!$E$14 = "Semi-annual",(J11/OFFSET(J11,0,-2,,))-1,(J11/OFFSET(J11,0,-4,,))-1),"")</f>
        <v>0.5338254001936924</v>
      </c>
      <c r="K12" s="2">
        <f ca="1">IFERROR(IF(Inputs!$E$14 = "Semi-annual",(K11/OFFSET(K11,0,-2,,))-1,(K11/OFFSET(K11,0,-4,,))-1),"")</f>
        <v>0.27282629611942477</v>
      </c>
      <c r="L12" s="2">
        <f ca="1">IFERROR(IF(Inputs!$E$14 = "Semi-annual",(L11/OFFSET(L11,0,-2,,))-1,(L11/OFFSET(L11,0,-4,,))-1),"")</f>
        <v>0.38183290395624425</v>
      </c>
      <c r="M12" s="2">
        <f ca="1">IFERROR(IF(Inputs!$E$14 = "Semi-annual",(M11/OFFSET(M11,0,-2,,))-1,(M11/OFFSET(M11,0,-4,,))-1),"")</f>
        <v>0.291067641397184</v>
      </c>
      <c r="N12" s="2">
        <f ca="1">IFERROR(IF(Inputs!$E$14 = "Semi-annual",(N11/OFFSET(N11,0,-2,,))-1,(N11/OFFSET(N11,0,-4,,))-1),"")</f>
        <v>0.31095260526580359</v>
      </c>
      <c r="O12" s="2">
        <f ca="1">IFERROR(IF(Inputs!$E$14 = "Semi-annual",(O11/OFFSET(O11,0,-2,,))-1,(O11/OFFSET(O11,0,-4,,))-1),"")</f>
        <v>0.43507856653726718</v>
      </c>
      <c r="P12" s="2">
        <f ca="1">IFERROR(IF(Inputs!$E$14 = "Semi-annual",(P11/OFFSET(P11,0,-2,,))-1,(P11/OFFSET(P11,0,-4,,))-1),"")</f>
        <v>0.39758044953615745</v>
      </c>
      <c r="Q12" s="2">
        <f ca="1">IFERROR(IF(Inputs!$E$14 = "Semi-annual",(Q11/OFFSET(Q11,0,-2,,))-1,(Q11/OFFSET(Q11,0,-4,,))-1),"")</f>
        <v>5.871693288972879E-2</v>
      </c>
      <c r="R12" s="2">
        <f ca="1">IFERROR(IF(Inputs!$E$14 = "Semi-annual",(R11/OFFSET(R11,0,-2,,))-1,(R11/OFFSET(R11,0,-4,,))-1),"")</f>
        <v>1.5159369439342596E-2</v>
      </c>
      <c r="S12" s="2">
        <f ca="1">IFERROR(IF(Inputs!$E$14 = "Semi-annual",(S11/OFFSET(S11,0,-2,,))-1,(S11/OFFSET(S11,0,-4,,))-1),"")</f>
        <v>-8.0784187594352685E-3</v>
      </c>
      <c r="T12" s="2">
        <f ca="1">IFERROR(IF(Inputs!$E$14 = "Semi-annual",(T11/OFFSET(T11,0,-2,,))-1,(T11/OFFSET(T11,0,-4,,))-1),"")</f>
        <v>-0.2107813250334214</v>
      </c>
      <c r="U12" s="2">
        <f ca="1">IFERROR(IF(Inputs!$E$14 = "Semi-annual",(U11/OFFSET(U11,0,-2,,))-1,(U11/OFFSET(U11,0,-4,,))-1),"")</f>
        <v>0.10944043610048948</v>
      </c>
      <c r="V12" s="2">
        <f ca="1">IFERROR(IF(Inputs!$E$14 = "Semi-annual",(V11/OFFSET(V11,0,-2,,))-1,(V11/OFFSET(V11,0,-4,,))-1),"")</f>
        <v>-5.9536203730311654E-2</v>
      </c>
      <c r="W12" s="2">
        <f ca="1">IFERROR(IF(Inputs!$E$14 = "Semi-annual",(W11/OFFSET(W11,0,-2,,))-1,(W11/OFFSET(W11,0,-4,,))-1),"")</f>
        <v>-0.87930096825654513</v>
      </c>
      <c r="X12" s="2">
        <f ca="1">IFERROR(IF(Inputs!$E$14 = "Semi-annual",(X11/OFFSET(X11,0,-2,,))-1,(X11/OFFSET(X11,0,-4,,))-1),"")</f>
        <v>-0.8428061318275728</v>
      </c>
      <c r="Y12" s="2">
        <f ca="1">IFERROR(IF(Inputs!$E$14 = "Semi-annual",(Y11/OFFSET(Y11,0,-2,,))-1,(Y11/OFFSET(Y11,0,-4,,))-1),"")</f>
        <v>-0.79341949907343223</v>
      </c>
    </row>
    <row r="13" spans="1:28" x14ac:dyDescent="0.3">
      <c r="A13" s="85" t="s">
        <v>17</v>
      </c>
      <c r="B13" s="12">
        <f>-'Interim Inc Statement US$'!B17</f>
        <v>151.81736693773067</v>
      </c>
      <c r="C13" s="12">
        <f>-'Interim Inc Statement US$'!C17</f>
        <v>154.51299942260931</v>
      </c>
      <c r="D13" s="12">
        <f>-'Interim Inc Statement US$'!D17</f>
        <v>146.94964678509379</v>
      </c>
      <c r="E13" s="12">
        <f>-'Interim Inc Statement US$'!E17</f>
        <v>152.11005874595372</v>
      </c>
      <c r="F13" s="12">
        <f>-'Interim Inc Statement US$'!F17</f>
        <v>160.83137448966968</v>
      </c>
      <c r="G13" s="12">
        <f>-'Interim Inc Statement US$'!G17</f>
        <v>185.42512006082566</v>
      </c>
      <c r="H13" s="12">
        <f>-'Interim Inc Statement US$'!H17</f>
        <v>174.13717713663249</v>
      </c>
      <c r="I13" s="12">
        <f>-'Interim Inc Statement US$'!I17</f>
        <v>144.62345447733233</v>
      </c>
      <c r="J13" s="12">
        <f>-'Interim Inc Statement US$'!J17</f>
        <v>172.24186383827396</v>
      </c>
      <c r="K13" s="12">
        <f>-'Interim Inc Statement US$'!K17</f>
        <v>167.78025241276913</v>
      </c>
      <c r="L13" s="12">
        <f>-'Interim Inc Statement US$'!L17</f>
        <v>192.21259829959644</v>
      </c>
      <c r="M13" s="12">
        <f>-'Interim Inc Statement US$'!M17</f>
        <v>191.27162023228695</v>
      </c>
      <c r="N13" s="12">
        <f>-'Interim Inc Statement US$'!N17</f>
        <v>202.51737602547288</v>
      </c>
      <c r="O13" s="12">
        <f>-'Interim Inc Statement US$'!O17</f>
        <v>170.44008703171437</v>
      </c>
      <c r="P13" s="12">
        <f>-'Interim Inc Statement US$'!P17</f>
        <v>211.92078858779774</v>
      </c>
      <c r="Q13" s="12">
        <f>-'Interim Inc Statement US$'!Q17</f>
        <v>189.27922471229562</v>
      </c>
      <c r="R13" s="12">
        <f>-'Interim Inc Statement US$'!R17</f>
        <v>184.24710733216531</v>
      </c>
      <c r="S13" s="12">
        <f>-'Interim Inc Statement US$'!S17</f>
        <v>190.62065856418647</v>
      </c>
      <c r="T13" s="12">
        <f>-'Interim Inc Statement US$'!T17</f>
        <v>192.37213059823097</v>
      </c>
      <c r="U13" s="12">
        <f>-'Interim Inc Statement US$'!U17</f>
        <v>189.39260503694936</v>
      </c>
      <c r="V13" s="12">
        <f>-'Interim Inc Statement US$'!V17</f>
        <v>201.2380362745225</v>
      </c>
      <c r="W13" s="12">
        <f>-'Interim Inc Statement US$'!W17</f>
        <v>130.5161082836627</v>
      </c>
      <c r="X13" s="12">
        <f>-'Interim Inc Statement US$'!X17</f>
        <v>33.460980778525482</v>
      </c>
      <c r="Y13" s="12">
        <f>-'Interim Inc Statement US$'!Y17</f>
        <v>138.87846257788453</v>
      </c>
    </row>
    <row r="14" spans="1:28" x14ac:dyDescent="0.3">
      <c r="A14" s="85" t="s">
        <v>0</v>
      </c>
      <c r="B14" s="2"/>
      <c r="C14" s="2" t="str">
        <f ca="1">IFERROR(IF(Inputs!$E$14 = "Semi-annual",(C13/OFFSET(C13,0,-2,,))-1,(C13/OFFSET(C13,0,-4,,))-1),"")</f>
        <v/>
      </c>
      <c r="D14" s="2" t="str">
        <f ca="1">IFERROR(IF(Inputs!$E$14 = "Semi-annual",(D13/OFFSET(D13,0,-2,,))-1,(D13/OFFSET(D13,0,-4,,))-1),"")</f>
        <v/>
      </c>
      <c r="E14" s="2" t="str">
        <f ca="1">IFERROR(IF(Inputs!$E$14 = "Semi-annual",(E13/OFFSET(E13,0,-2,,))-1,(E13/OFFSET(E13,0,-4,,))-1),"")</f>
        <v/>
      </c>
      <c r="F14" s="2">
        <f ca="1">IFERROR(IF(Inputs!$E$14 = "Semi-annual",(F13/OFFSET(F13,0,-2,,))-1,(F13/OFFSET(F13,0,-4,,))-1),"")</f>
        <v>5.9374021126556542E-2</v>
      </c>
      <c r="G14" s="2">
        <f ca="1">IFERROR(IF(Inputs!$E$14 = "Semi-annual",(G13/OFFSET(G13,0,-2,,))-1,(G13/OFFSET(G13,0,-4,,))-1),"")</f>
        <v>0.20006161781681842</v>
      </c>
      <c r="H14" s="2">
        <f ca="1">IFERROR(IF(Inputs!$E$14 = "Semi-annual",(H13/OFFSET(H13,0,-2,,))-1,(H13/OFFSET(H13,0,-4,,))-1),"")</f>
        <v>0.18501256005942657</v>
      </c>
      <c r="I14" s="2">
        <f ca="1">IFERROR(IF(Inputs!$E$14 = "Semi-annual",(I13/OFFSET(I13,0,-2,,))-1,(I13/OFFSET(I13,0,-4,,))-1),"")</f>
        <v>-4.9218337895228448E-2</v>
      </c>
      <c r="J14" s="2">
        <f ca="1">IFERROR(IF(Inputs!$E$14 = "Semi-annual",(J13/OFFSET(J13,0,-2,,))-1,(J13/OFFSET(J13,0,-4,,))-1),"")</f>
        <v>7.0946911849821825E-2</v>
      </c>
      <c r="K14" s="2">
        <f ca="1">IFERROR(IF(Inputs!$E$14 = "Semi-annual",(K13/OFFSET(K13,0,-2,,))-1,(K13/OFFSET(K13,0,-4,,))-1),"")</f>
        <v>-9.5158992709663215E-2</v>
      </c>
      <c r="L14" s="2">
        <f ca="1">IFERROR(IF(Inputs!$E$14 = "Semi-annual",(L13/OFFSET(L13,0,-2,,))-1,(L13/OFFSET(L13,0,-4,,))-1),"")</f>
        <v>0.10379989764495567</v>
      </c>
      <c r="M14" s="2">
        <f ca="1">IFERROR(IF(Inputs!$E$14 = "Semi-annual",(M13/OFFSET(M13,0,-2,,))-1,(M13/OFFSET(M13,0,-4,,))-1),"")</f>
        <v>0.32254910466314479</v>
      </c>
      <c r="N14" s="2">
        <f ca="1">IFERROR(IF(Inputs!$E$14 = "Semi-annual",(N13/OFFSET(N13,0,-2,,))-1,(N13/OFFSET(N13,0,-4,,))-1),"")</f>
        <v>0.17577324996683763</v>
      </c>
      <c r="O14" s="2">
        <f ca="1">IFERROR(IF(Inputs!$E$14 = "Semi-annual",(O13/OFFSET(O13,0,-2,,))-1,(O13/OFFSET(O13,0,-4,,))-1),"")</f>
        <v>1.5853085096102726E-2</v>
      </c>
      <c r="P14" s="2">
        <f ca="1">IFERROR(IF(Inputs!$E$14 = "Semi-annual",(P13/OFFSET(P13,0,-2,,))-1,(P13/OFFSET(P13,0,-4,,))-1),"")</f>
        <v>0.10253329106702314</v>
      </c>
      <c r="Q14" s="2">
        <f ca="1">IFERROR(IF(Inputs!$E$14 = "Semi-annual",(Q13/OFFSET(Q13,0,-2,,))-1,(Q13/OFFSET(Q13,0,-4,,))-1),"")</f>
        <v>-1.0416576790491461E-2</v>
      </c>
      <c r="R14" s="2">
        <f ca="1">IFERROR(IF(Inputs!$E$14 = "Semi-annual",(R13/OFFSET(R13,0,-2,,))-1,(R13/OFFSET(R13,0,-4,,))-1),"")</f>
        <v>-9.0215807906821377E-2</v>
      </c>
      <c r="S14" s="2">
        <f ca="1">IFERROR(IF(Inputs!$E$14 = "Semi-annual",(S13/OFFSET(S13,0,-2,,))-1,(S13/OFFSET(S13,0,-4,,))-1),"")</f>
        <v>0.11840272956864317</v>
      </c>
      <c r="T14" s="2">
        <f ca="1">IFERROR(IF(Inputs!$E$14 = "Semi-annual",(T13/OFFSET(T13,0,-2,,))-1,(T13/OFFSET(T13,0,-4,,))-1),"")</f>
        <v>-9.2245117243265895E-2</v>
      </c>
      <c r="U14" s="2">
        <f ca="1">IFERROR(IF(Inputs!$E$14 = "Semi-annual",(U13/OFFSET(U13,0,-2,,))-1,(U13/OFFSET(U13,0,-4,,))-1),"")</f>
        <v>5.9901093121061955E-4</v>
      </c>
      <c r="V14" s="2">
        <f ca="1">IFERROR(IF(Inputs!$E$14 = "Semi-annual",(V13/OFFSET(V13,0,-2,,))-1,(V13/OFFSET(V13,0,-4,,))-1),"")</f>
        <v>9.221815847412751E-2</v>
      </c>
      <c r="W14" s="2">
        <f ca="1">IFERROR(IF(Inputs!$E$14 = "Semi-annual",(W13/OFFSET(W13,0,-2,,))-1,(W13/OFFSET(W13,0,-4,,))-1),"")</f>
        <v>-0.31530973994765188</v>
      </c>
      <c r="X14" s="2">
        <f ca="1">IFERROR(IF(Inputs!$E$14 = "Semi-annual",(X13/OFFSET(X13,0,-2,,))-1,(X13/OFFSET(X13,0,-4,,))-1),"")</f>
        <v>-0.82606118321572941</v>
      </c>
      <c r="Y14" s="2">
        <f ca="1">IFERROR(IF(Inputs!$E$14 = "Semi-annual",(Y13/OFFSET(Y13,0,-2,,))-1,(Y13/OFFSET(Y13,0,-4,,))-1),"")</f>
        <v>-0.26671655130996175</v>
      </c>
    </row>
    <row r="15" spans="1:28" x14ac:dyDescent="0.3">
      <c r="A15" s="85" t="s">
        <v>18</v>
      </c>
      <c r="B15" s="12">
        <f>-'Interim Inc Statement US$'!B18</f>
        <v>345.62677153908896</v>
      </c>
      <c r="C15" s="12">
        <f>-'Interim Inc Statement US$'!C18</f>
        <v>436.70252994705896</v>
      </c>
      <c r="D15" s="12">
        <f>-'Interim Inc Statement US$'!D18</f>
        <v>437.78748938059192</v>
      </c>
      <c r="E15" s="12">
        <f>-'Interim Inc Statement US$'!E18</f>
        <v>-4.4958638052991251</v>
      </c>
      <c r="F15" s="12">
        <f>-'Interim Inc Statement US$'!F18</f>
        <v>408.26425831993072</v>
      </c>
      <c r="G15" s="12">
        <f>-'Interim Inc Statement US$'!G18</f>
        <v>296.36985716834897</v>
      </c>
      <c r="H15" s="12">
        <f>-'Interim Inc Statement US$'!H18</f>
        <v>324.49350629425351</v>
      </c>
      <c r="I15" s="12">
        <f>-'Interim Inc Statement US$'!I18</f>
        <v>248.03297115024353</v>
      </c>
      <c r="J15" s="12">
        <f>-'Interim Inc Statement US$'!J18</f>
        <v>416.25117094249538</v>
      </c>
      <c r="K15" s="12">
        <f>-'Interim Inc Statement US$'!K18</f>
        <v>319.2279138827023</v>
      </c>
      <c r="L15" s="12">
        <f>-'Interim Inc Statement US$'!L18</f>
        <v>358.10562919717347</v>
      </c>
      <c r="M15" s="12">
        <f>-'Interim Inc Statement US$'!M18</f>
        <v>311.70189963780092</v>
      </c>
      <c r="N15" s="12">
        <f>-'Interim Inc Statement US$'!N18</f>
        <v>469.11251555900554</v>
      </c>
      <c r="O15" s="12">
        <f>-'Interim Inc Statement US$'!O18</f>
        <v>355.5999997616222</v>
      </c>
      <c r="P15" s="12">
        <f>-'Interim Inc Statement US$'!P18</f>
        <v>376.40804326785735</v>
      </c>
      <c r="Q15" s="12">
        <f>-'Interim Inc Statement US$'!Q18</f>
        <v>344.48818897637801</v>
      </c>
      <c r="R15" s="12">
        <f>-'Interim Inc Statement US$'!R18</f>
        <v>470.01813094940132</v>
      </c>
      <c r="S15" s="12">
        <f>-'Interim Inc Statement US$'!S18</f>
        <v>355.82522931981475</v>
      </c>
      <c r="T15" s="12">
        <f>-'Interim Inc Statement US$'!T18</f>
        <v>374.89844348867842</v>
      </c>
      <c r="U15" s="12">
        <f>-'Interim Inc Statement US$'!U18</f>
        <v>353.02781578887362</v>
      </c>
      <c r="V15" s="12">
        <f>-'Interim Inc Statement US$'!V18</f>
        <v>416.63726769428916</v>
      </c>
      <c r="W15" s="12">
        <f>-'Interim Inc Statement US$'!W18</f>
        <v>161.52269754442233</v>
      </c>
      <c r="X15" s="12">
        <f>-'Interim Inc Statement US$'!X18</f>
        <v>95.177900881139152</v>
      </c>
      <c r="Y15" s="12">
        <f>-'Interim Inc Statement US$'!Y18</f>
        <v>41.288191577208913</v>
      </c>
    </row>
    <row r="16" spans="1:28" x14ac:dyDescent="0.3">
      <c r="A16" s="85" t="s">
        <v>0</v>
      </c>
      <c r="B16" s="2"/>
      <c r="C16" s="2" t="str">
        <f ca="1">IFERROR(IF(Inputs!$E$14 = "Semi-annual",(C15/OFFSET(C15,0,-2,,))-1,(C15/OFFSET(C15,0,-4,,))-1),"")</f>
        <v/>
      </c>
      <c r="D16" s="2" t="str">
        <f ca="1">IFERROR(IF(Inputs!$E$14 = "Semi-annual",(D15/OFFSET(D15,0,-2,,))-1,(D15/OFFSET(D15,0,-4,,))-1),"")</f>
        <v/>
      </c>
      <c r="E16" s="2" t="str">
        <f ca="1">IFERROR(IF(Inputs!$E$14 = "Semi-annual",(E15/OFFSET(E15,0,-2,,))-1,(E15/OFFSET(E15,0,-4,,))-1),"")</f>
        <v/>
      </c>
      <c r="F16" s="2">
        <f ca="1">IFERROR(IF(Inputs!$E$14 = "Semi-annual",(F15/OFFSET(F15,0,-2,,))-1,(F15/OFFSET(F15,0,-4,,))-1),"")</f>
        <v>0.18122868926476587</v>
      </c>
      <c r="G16" s="2">
        <f ca="1">IFERROR(IF(Inputs!$E$14 = "Semi-annual",(G15/OFFSET(G15,0,-2,,))-1,(G15/OFFSET(G15,0,-4,,))-1),"")</f>
        <v>-0.32134614103500247</v>
      </c>
      <c r="H16" s="2">
        <f ca="1">IFERROR(IF(Inputs!$E$14 = "Semi-annual",(H15/OFFSET(H15,0,-2,,))-1,(H15/OFFSET(H15,0,-4,,))-1),"")</f>
        <v>-0.25878762147048462</v>
      </c>
      <c r="I16" s="2">
        <f ca="1">IFERROR(IF(Inputs!$E$14 = "Semi-annual",(I15/OFFSET(I15,0,-2,,))-1,(I15/OFFSET(I15,0,-4,,))-1),"")</f>
        <v>-56.16914699637816</v>
      </c>
      <c r="J16" s="2">
        <f ca="1">IFERROR(IF(Inputs!$E$14 = "Semi-annual",(J15/OFFSET(J15,0,-2,,))-1,(J15/OFFSET(J15,0,-4,,))-1),"")</f>
        <v>1.9563095372178818E-2</v>
      </c>
      <c r="K16" s="2">
        <f ca="1">IFERROR(IF(Inputs!$E$14 = "Semi-annual",(K15/OFFSET(K15,0,-2,,))-1,(K15/OFFSET(K15,0,-4,,))-1),"")</f>
        <v>7.71267933006059E-2</v>
      </c>
      <c r="L16" s="2">
        <f ca="1">IFERROR(IF(Inputs!$E$14 = "Semi-annual",(L15/OFFSET(L15,0,-2,,))-1,(L15/OFFSET(L15,0,-4,,))-1),"")</f>
        <v>0.10358334527791824</v>
      </c>
      <c r="M16" s="2">
        <f ca="1">IFERROR(IF(Inputs!$E$14 = "Semi-annual",(M15/OFFSET(M15,0,-2,,))-1,(M15/OFFSET(M15,0,-4,,))-1),"")</f>
        <v>0.25669542316207061</v>
      </c>
      <c r="N16" s="2">
        <f ca="1">IFERROR(IF(Inputs!$E$14 = "Semi-annual",(N15/OFFSET(N15,0,-2,,))-1,(N15/OFFSET(N15,0,-4,,))-1),"")</f>
        <v>0.12699386405765312</v>
      </c>
      <c r="O16" s="2">
        <f ca="1">IFERROR(IF(Inputs!$E$14 = "Semi-annual",(O15/OFFSET(O15,0,-2,,))-1,(O15/OFFSET(O15,0,-4,,))-1),"")</f>
        <v>0.11393767367187246</v>
      </c>
      <c r="P16" s="2">
        <f ca="1">IFERROR(IF(Inputs!$E$14 = "Semi-annual",(P15/OFFSET(P15,0,-2,,))-1,(P15/OFFSET(P15,0,-4,,))-1),"")</f>
        <v>5.1108981759699024E-2</v>
      </c>
      <c r="Q16" s="2">
        <f ca="1">IFERROR(IF(Inputs!$E$14 = "Semi-annual",(Q15/OFFSET(Q15,0,-2,,))-1,(Q15/OFFSET(Q15,0,-4,,))-1),"")</f>
        <v>0.10518475946625583</v>
      </c>
      <c r="R16" s="2">
        <f ca="1">IFERROR(IF(Inputs!$E$14 = "Semi-annual",(R15/OFFSET(R15,0,-2,,))-1,(R15/OFFSET(R15,0,-4,,))-1),"")</f>
        <v>1.9304865258531478E-3</v>
      </c>
      <c r="S16" s="2">
        <f ca="1">IFERROR(IF(Inputs!$E$14 = "Semi-annual",(S15/OFFSET(S15,0,-2,,))-1,(S15/OFFSET(S15,0,-4,,))-1),"")</f>
        <v>6.3337896047110931E-4</v>
      </c>
      <c r="T16" s="2">
        <f ca="1">IFERROR(IF(Inputs!$E$14 = "Semi-annual",(T15/OFFSET(T15,0,-2,,))-1,(T15/OFFSET(T15,0,-4,,))-1),"")</f>
        <v>-4.0105407049038089E-3</v>
      </c>
      <c r="U16" s="2">
        <f ca="1">IFERROR(IF(Inputs!$E$14 = "Semi-annual",(U15/OFFSET(U15,0,-2,,))-1,(U15/OFFSET(U15,0,-4,,))-1),"")</f>
        <v>2.4789316689987295E-2</v>
      </c>
      <c r="V16" s="2">
        <f ca="1">IFERROR(IF(Inputs!$E$14 = "Semi-annual",(V15/OFFSET(V15,0,-2,,))-1,(V15/OFFSET(V15,0,-4,,))-1),"")</f>
        <v>-0.1135719235921534</v>
      </c>
      <c r="W16" s="2">
        <f ca="1">IFERROR(IF(Inputs!$E$14 = "Semi-annual",(W15/OFFSET(W15,0,-2,,))-1,(W15/OFFSET(W15,0,-4,,))-1),"")</f>
        <v>-0.54606170604264215</v>
      </c>
      <c r="X16" s="2">
        <f ca="1">IFERROR(IF(Inputs!$E$14 = "Semi-annual",(X15/OFFSET(X15,0,-2,,))-1,(X15/OFFSET(X15,0,-4,,))-1),"")</f>
        <v>-0.74612351015532175</v>
      </c>
      <c r="Y16" s="2">
        <f ca="1">IFERROR(IF(Inputs!$E$14 = "Semi-annual",(Y15/OFFSET(Y15,0,-2,,))-1,(Y15/OFFSET(Y15,0,-4,,))-1),"")</f>
        <v>-0.88304550029592832</v>
      </c>
    </row>
    <row r="17" spans="1:25" x14ac:dyDescent="0.3">
      <c r="A17" s="85" t="s">
        <v>19</v>
      </c>
      <c r="B17" s="12">
        <f>-'Interim Inc Statement US$'!B19</f>
        <v>124.3610346192049</v>
      </c>
      <c r="C17" s="12">
        <f>-'Interim Inc Statement US$'!C19</f>
        <v>123.61039953808745</v>
      </c>
      <c r="D17" s="12">
        <f>-'Interim Inc Statement US$'!D19</f>
        <v>120.16195075656107</v>
      </c>
      <c r="E17" s="12">
        <f>-'Interim Inc Statement US$'!E19</f>
        <v>108.65004196139552</v>
      </c>
      <c r="F17" s="12">
        <f>-'Interim Inc Statement US$'!F19</f>
        <v>132.44936722678679</v>
      </c>
      <c r="G17" s="12">
        <f>-'Interim Inc Statement US$'!G19</f>
        <v>131.8923448131396</v>
      </c>
      <c r="H17" s="12">
        <f>-'Interim Inc Statement US$'!H19</f>
        <v>137.31521897558244</v>
      </c>
      <c r="I17" s="12">
        <f>-'Interim Inc Statement US$'!I19</f>
        <v>128.88722367928062</v>
      </c>
      <c r="J17" s="12">
        <f>-'Interim Inc Statement US$'!J19</f>
        <v>154.86658810020245</v>
      </c>
      <c r="K17" s="12">
        <f>-'Interim Inc Statement US$'!K19</f>
        <v>147.73570898292502</v>
      </c>
      <c r="L17" s="12">
        <f>-'Interim Inc Statement US$'!L19</f>
        <v>162.70278030339284</v>
      </c>
      <c r="M17" s="12">
        <f>-'Interim Inc Statement US$'!M19</f>
        <v>133.02429555249586</v>
      </c>
      <c r="N17" s="12">
        <f>-'Interim Inc Statement US$'!N19</f>
        <v>149.51478151880616</v>
      </c>
      <c r="O17" s="12">
        <f>-'Interim Inc Statement US$'!O19</f>
        <v>154.17080599686889</v>
      </c>
      <c r="P17" s="12">
        <f>-'Interim Inc Statement US$'!P19</f>
        <v>181.31850864732155</v>
      </c>
      <c r="Q17" s="12">
        <f>-'Interim Inc Statement US$'!Q19</f>
        <v>137.7952755905512</v>
      </c>
      <c r="R17" s="12">
        <f>-'Interim Inc Statement US$'!R19</f>
        <v>160.18217902755597</v>
      </c>
      <c r="S17" s="12">
        <f>-'Interim Inc Statement US$'!S19</f>
        <v>163.70950676688955</v>
      </c>
      <c r="T17" s="12">
        <f>-'Interim Inc Statement US$'!T19</f>
        <v>187.82790704079244</v>
      </c>
      <c r="U17" s="12">
        <f>-'Interim Inc Statement US$'!U19</f>
        <v>146.96866150867271</v>
      </c>
      <c r="V17" s="12">
        <f>-'Interim Inc Statement US$'!V19</f>
        <v>136.3946690305097</v>
      </c>
      <c r="W17" s="12">
        <f>-'Interim Inc Statement US$'!W19</f>
        <v>9.374085125345939</v>
      </c>
      <c r="X17" s="12">
        <f>-'Interim Inc Statement US$'!X19</f>
        <v>22.30732051901699</v>
      </c>
      <c r="Y17" s="12">
        <f>-'Interim Inc Statement US$'!Y19</f>
        <v>19.518054200135126</v>
      </c>
    </row>
    <row r="18" spans="1:25" x14ac:dyDescent="0.3">
      <c r="A18" s="85" t="s">
        <v>0</v>
      </c>
      <c r="B18" s="2"/>
      <c r="C18" s="2" t="str">
        <f ca="1">IFERROR(IF(Inputs!$E$14 = "Semi-annual",(C17/OFFSET(C17,0,-2,,))-1,(C17/OFFSET(C17,0,-4,,))-1),"")</f>
        <v/>
      </c>
      <c r="D18" s="2" t="str">
        <f ca="1">IFERROR(IF(Inputs!$E$14 = "Semi-annual",(D17/OFFSET(D17,0,-2,,))-1,(D17/OFFSET(D17,0,-4,,))-1),"")</f>
        <v/>
      </c>
      <c r="E18" s="2" t="str">
        <f ca="1">IFERROR(IF(Inputs!$E$14 = "Semi-annual",(E17/OFFSET(E17,0,-2,,))-1,(E17/OFFSET(E17,0,-4,,))-1),"")</f>
        <v/>
      </c>
      <c r="F18" s="2">
        <f ca="1">IFERROR(IF(Inputs!$E$14 = "Semi-annual",(F17/OFFSET(F17,0,-2,,))-1,(F17/OFFSET(F17,0,-4,,))-1),"")</f>
        <v>6.503912284381097E-2</v>
      </c>
      <c r="G18" s="2">
        <f ca="1">IFERROR(IF(Inputs!$E$14 = "Semi-annual",(G17/OFFSET(G17,0,-2,,))-1,(G17/OFFSET(G17,0,-4,,))-1),"")</f>
        <v>6.7000392410351273E-2</v>
      </c>
      <c r="H18" s="2">
        <f ca="1">IFERROR(IF(Inputs!$E$14 = "Semi-annual",(H17/OFFSET(H17,0,-2,,))-1,(H17/OFFSET(H17,0,-4,,))-1),"")</f>
        <v>0.14275124622246338</v>
      </c>
      <c r="I18" s="2">
        <f ca="1">IFERROR(IF(Inputs!$E$14 = "Semi-annual",(I17/OFFSET(I17,0,-2,,))-1,(I17/OFFSET(I17,0,-4,,))-1),"")</f>
        <v>0.18626022919600516</v>
      </c>
      <c r="J18" s="2">
        <f ca="1">IFERROR(IF(Inputs!$E$14 = "Semi-annual",(J17/OFFSET(J17,0,-2,,))-1,(J17/OFFSET(J17,0,-4,,))-1),"")</f>
        <v>0.16925124930972091</v>
      </c>
      <c r="K18" s="2">
        <f ca="1">IFERROR(IF(Inputs!$E$14 = "Semi-annual",(K17/OFFSET(K17,0,-2,,))-1,(K17/OFFSET(K17,0,-4,,))-1),"")</f>
        <v>0.12012345517271483</v>
      </c>
      <c r="L18" s="2">
        <f ca="1">IFERROR(IF(Inputs!$E$14 = "Semi-annual",(L17/OFFSET(L17,0,-2,,))-1,(L17/OFFSET(L17,0,-4,,))-1),"")</f>
        <v>0.18488526994465815</v>
      </c>
      <c r="M18" s="2">
        <f ca="1">IFERROR(IF(Inputs!$E$14 = "Semi-annual",(M17/OFFSET(M17,0,-2,,))-1,(M17/OFFSET(M17,0,-4,,))-1),"")</f>
        <v>3.2098386132591417E-2</v>
      </c>
      <c r="N18" s="2">
        <f ca="1">IFERROR(IF(Inputs!$E$14 = "Semi-annual",(N17/OFFSET(N17,0,-2,,))-1,(N17/OFFSET(N17,0,-4,,))-1),"")</f>
        <v>-3.4557528819150751E-2</v>
      </c>
      <c r="O18" s="2">
        <f ca="1">IFERROR(IF(Inputs!$E$14 = "Semi-annual",(O17/OFFSET(O17,0,-2,,))-1,(O17/OFFSET(O17,0,-4,,))-1),"")</f>
        <v>4.3558169235087485E-2</v>
      </c>
      <c r="P18" s="2">
        <f ca="1">IFERROR(IF(Inputs!$E$14 = "Semi-annual",(P17/OFFSET(P17,0,-2,,))-1,(P17/OFFSET(P17,0,-4,,))-1),"")</f>
        <v>0.11441555153031713</v>
      </c>
      <c r="Q18" s="2">
        <f ca="1">IFERROR(IF(Inputs!$E$14 = "Semi-annual",(Q17/OFFSET(Q17,0,-2,,))-1,(Q17/OFFSET(Q17,0,-4,,))-1),"")</f>
        <v>3.5865478694999453E-2</v>
      </c>
      <c r="R18" s="2">
        <f ca="1">IFERROR(IF(Inputs!$E$14 = "Semi-annual",(R17/OFFSET(R17,0,-2,,))-1,(R17/OFFSET(R17,0,-4,,))-1),"")</f>
        <v>7.1346775217727032E-2</v>
      </c>
      <c r="S18" s="2">
        <f ca="1">IFERROR(IF(Inputs!$E$14 = "Semi-annual",(S17/OFFSET(S17,0,-2,,))-1,(S17/OFFSET(S17,0,-4,,))-1),"")</f>
        <v>6.1870992425208993E-2</v>
      </c>
      <c r="T18" s="2">
        <f ca="1">IFERROR(IF(Inputs!$E$14 = "Semi-annual",(T17/OFFSET(T17,0,-2,,))-1,(T17/OFFSET(T17,0,-4,,))-1),"")</f>
        <v>3.5900352600694241E-2</v>
      </c>
      <c r="U18" s="2">
        <f ca="1">IFERROR(IF(Inputs!$E$14 = "Semi-annual",(U17/OFFSET(U17,0,-2,,))-1,(U17/OFFSET(U17,0,-4,,))-1),"")</f>
        <v>6.6572572091510462E-2</v>
      </c>
      <c r="V18" s="2">
        <f ca="1">IFERROR(IF(Inputs!$E$14 = "Semi-annual",(V17/OFFSET(V17,0,-2,,))-1,(V17/OFFSET(V17,0,-4,,))-1),"")</f>
        <v>-0.14850284932729085</v>
      </c>
      <c r="W18" s="2">
        <f ca="1">IFERROR(IF(Inputs!$E$14 = "Semi-annual",(W17/OFFSET(W17,0,-2,,))-1,(W17/OFFSET(W17,0,-4,,))-1),"")</f>
        <v>-0.94273951885583562</v>
      </c>
      <c r="X18" s="2">
        <f ca="1">IFERROR(IF(Inputs!$E$14 = "Semi-annual",(X17/OFFSET(X17,0,-2,,))-1,(X17/OFFSET(X17,0,-4,,))-1),"")</f>
        <v>-0.88123532402364313</v>
      </c>
      <c r="Y18" s="2">
        <f ca="1">IFERROR(IF(Inputs!$E$14 = "Semi-annual",(Y17/OFFSET(Y17,0,-2,,))-1,(Y17/OFFSET(Y17,0,-4,,))-1),"")</f>
        <v>-0.86719580895833803</v>
      </c>
    </row>
    <row r="19" spans="1:25" x14ac:dyDescent="0.3">
      <c r="A19" s="85" t="s">
        <v>20</v>
      </c>
      <c r="B19" s="12">
        <f>-'Interim Inc Statement US$'!B20</f>
        <v>713.86464028166972</v>
      </c>
      <c r="C19" s="12">
        <f>-'Interim Inc Statement US$'!C20</f>
        <v>616.42554506493605</v>
      </c>
      <c r="D19" s="12">
        <f>-'Interim Inc Statement US$'!D20</f>
        <v>564.8377048302043</v>
      </c>
      <c r="E19" s="12">
        <f>-'Interim Inc Statement US$'!E20</f>
        <v>956.12036926028054</v>
      </c>
      <c r="F19" s="12">
        <f>-'Interim Inc Statement US$'!F20</f>
        <v>638.2312915268792</v>
      </c>
      <c r="G19" s="12">
        <f>-'Interim Inc Statement US$'!G20</f>
        <v>727.73540843955846</v>
      </c>
      <c r="H19" s="12">
        <f>-'Interim Inc Statement US$'!H20</f>
        <v>784.00085917902379</v>
      </c>
      <c r="I19" s="12">
        <f>-'Interim Inc Statement US$'!I20</f>
        <v>792.0569501686025</v>
      </c>
      <c r="J19" s="12">
        <f>-'Interim Inc Statement US$'!J20</f>
        <v>777.35472758589435</v>
      </c>
      <c r="K19" s="12">
        <f>-'Interim Inc Statement US$'!K20</f>
        <v>770.60133630289533</v>
      </c>
      <c r="L19" s="12">
        <f>-'Interim Inc Statement US$'!L20</f>
        <v>785.59920881785274</v>
      </c>
      <c r="M19" s="12">
        <f>-'Interim Inc Statement US$'!M20</f>
        <v>843.01195583859794</v>
      </c>
      <c r="N19" s="12">
        <f>-'Interim Inc Statement US$'!N20</f>
        <v>893.92435511243889</v>
      </c>
      <c r="O19" s="12">
        <f>-'Interim Inc Statement US$'!O20</f>
        <v>893.26100157984843</v>
      </c>
      <c r="P19" s="12">
        <f>-'Interim Inc Statement US$'!P20</f>
        <v>803.30984843750048</v>
      </c>
      <c r="Q19" s="12">
        <f>-'Interim Inc Statement US$'!Q20</f>
        <v>991.06602059357988</v>
      </c>
      <c r="R19" s="12">
        <f>-'Interim Inc Statement US$'!R20</f>
        <v>832.4961135375795</v>
      </c>
      <c r="S19" s="12">
        <f>-'Interim Inc Statement US$'!S20</f>
        <v>836.48830169931239</v>
      </c>
      <c r="T19" s="12">
        <f>-'Interim Inc Statement US$'!T20</f>
        <v>911.1168232664246</v>
      </c>
      <c r="U19" s="12">
        <f>-'Interim Inc Statement US$'!U20</f>
        <v>818.17605375962125</v>
      </c>
      <c r="V19" s="12">
        <f>-'Interim Inc Statement US$'!V20</f>
        <v>750.54334269794128</v>
      </c>
      <c r="W19" s="12">
        <f>-'Interim Inc Statement US$'!W20</f>
        <v>254.54246532670129</v>
      </c>
      <c r="X19" s="12">
        <f>-'Interim Inc Statement US$'!X20</f>
        <v>340.55842659032601</v>
      </c>
      <c r="Y19" s="12">
        <f>-'Interim Inc Statement US$'!Y20</f>
        <v>446.66316342616921</v>
      </c>
    </row>
    <row r="20" spans="1:25" x14ac:dyDescent="0.3">
      <c r="A20" s="85" t="s">
        <v>0</v>
      </c>
      <c r="B20" s="2"/>
      <c r="C20" s="2" t="str">
        <f ca="1">IFERROR(IF(Inputs!$E$14 = "Semi-annual",(C19/OFFSET(C19,0,-2,,))-1,(C19/OFFSET(C19,0,-4,,))-1),"")</f>
        <v/>
      </c>
      <c r="D20" s="2" t="str">
        <f ca="1">IFERROR(IF(Inputs!$E$14 = "Semi-annual",(D19/OFFSET(D19,0,-2,,))-1,(D19/OFFSET(D19,0,-4,,))-1),"")</f>
        <v/>
      </c>
      <c r="E20" s="2" t="str">
        <f ca="1">IFERROR(IF(Inputs!$E$14 = "Semi-annual",(E19/OFFSET(E19,0,-2,,))-1,(E19/OFFSET(E19,0,-4,,))-1),"")</f>
        <v/>
      </c>
      <c r="F20" s="2">
        <f ca="1">IFERROR(IF(Inputs!$E$14 = "Semi-annual",(F19/OFFSET(F19,0,-2,,))-1,(F19/OFFSET(F19,0,-4,,))-1),"")</f>
        <v>-0.10594914566009017</v>
      </c>
      <c r="G20" s="2">
        <f ca="1">IFERROR(IF(Inputs!$E$14 = "Semi-annual",(G19/OFFSET(G19,0,-2,,))-1,(G19/OFFSET(G19,0,-4,,))-1),"")</f>
        <v>0.1805730866700157</v>
      </c>
      <c r="H20" s="2">
        <f ca="1">IFERROR(IF(Inputs!$E$14 = "Semi-annual",(H19/OFFSET(H19,0,-2,,))-1,(H19/OFFSET(H19,0,-4,,))-1),"")</f>
        <v>0.3880108436009988</v>
      </c>
      <c r="I20" s="2">
        <f ca="1">IFERROR(IF(Inputs!$E$14 = "Semi-annual",(I19/OFFSET(I19,0,-2,,))-1,(I19/OFFSET(I19,0,-4,,))-1),"")</f>
        <v>-0.17159284998666913</v>
      </c>
      <c r="J20" s="2">
        <f ca="1">IFERROR(IF(Inputs!$E$14 = "Semi-annual",(J19/OFFSET(J19,0,-2,,))-1,(J19/OFFSET(J19,0,-4,,))-1),"")</f>
        <v>0.21798278759755219</v>
      </c>
      <c r="K20" s="2">
        <f ca="1">IFERROR(IF(Inputs!$E$14 = "Semi-annual",(K19/OFFSET(K19,0,-2,,))-1,(K19/OFFSET(K19,0,-4,,))-1),"")</f>
        <v>5.8903177399670437E-2</v>
      </c>
      <c r="L20" s="2">
        <f ca="1">IFERROR(IF(Inputs!$E$14 = "Semi-annual",(L19/OFFSET(L19,0,-2,,))-1,(L19/OFFSET(L19,0,-4,,))-1),"")</f>
        <v>2.038709039812403E-3</v>
      </c>
      <c r="M20" s="2">
        <f ca="1">IFERROR(IF(Inputs!$E$14 = "Semi-annual",(M19/OFFSET(M19,0,-2,,))-1,(M19/OFFSET(M19,0,-4,,))-1),"")</f>
        <v>6.4332502428201543E-2</v>
      </c>
      <c r="N20" s="2">
        <f ca="1">IFERROR(IF(Inputs!$E$14 = "Semi-annual",(N19/OFFSET(N19,0,-2,,))-1,(N19/OFFSET(N19,0,-4,,))-1),"")</f>
        <v>0.14995680014522605</v>
      </c>
      <c r="O20" s="2">
        <f ca="1">IFERROR(IF(Inputs!$E$14 = "Semi-annual",(O19/OFFSET(O19,0,-2,,))-1,(O19/OFFSET(O19,0,-4,,))-1),"")</f>
        <v>0.15917395869754891</v>
      </c>
      <c r="P20" s="2">
        <f ca="1">IFERROR(IF(Inputs!$E$14 = "Semi-annual",(P19/OFFSET(P19,0,-2,,))-1,(P19/OFFSET(P19,0,-4,,))-1),"")</f>
        <v>2.2544115906504292E-2</v>
      </c>
      <c r="Q20" s="2">
        <f ca="1">IFERROR(IF(Inputs!$E$14 = "Semi-annual",(Q19/OFFSET(Q19,0,-2,,))-1,(Q19/OFFSET(Q19,0,-4,,))-1),"")</f>
        <v>0.17562510677289644</v>
      </c>
      <c r="R20" s="2">
        <f ca="1">IFERROR(IF(Inputs!$E$14 = "Semi-annual",(R19/OFFSET(R19,0,-2,,))-1,(R19/OFFSET(R19,0,-4,,))-1),"")</f>
        <v>-6.8717494073794239E-2</v>
      </c>
      <c r="S20" s="2">
        <f ca="1">IFERROR(IF(Inputs!$E$14 = "Semi-annual",(S19/OFFSET(S19,0,-2,,))-1,(S19/OFFSET(S19,0,-4,,))-1),"")</f>
        <v>-6.355667579814428E-2</v>
      </c>
      <c r="T20" s="2">
        <f ca="1">IFERROR(IF(Inputs!$E$14 = "Semi-annual",(T19/OFFSET(T19,0,-2,,))-1,(T19/OFFSET(T19,0,-4,,))-1),"")</f>
        <v>0.13420347707502533</v>
      </c>
      <c r="U20" s="2">
        <f ca="1">IFERROR(IF(Inputs!$E$14 = "Semi-annual",(U19/OFFSET(U19,0,-2,,))-1,(U19/OFFSET(U19,0,-4,,))-1),"")</f>
        <v>-0.17444848601550234</v>
      </c>
      <c r="V20" s="2">
        <f ca="1">IFERROR(IF(Inputs!$E$14 = "Semi-annual",(V19/OFFSET(V19,0,-2,,))-1,(V19/OFFSET(V19,0,-4,,))-1),"")</f>
        <v>-9.8442226344326089E-2</v>
      </c>
      <c r="W20" s="2">
        <f ca="1">IFERROR(IF(Inputs!$E$14 = "Semi-annual",(W19/OFFSET(W19,0,-2,,))-1,(W19/OFFSET(W19,0,-4,,))-1),"")</f>
        <v>-0.69570110567045296</v>
      </c>
      <c r="X20" s="2">
        <f ca="1">IFERROR(IF(Inputs!$E$14 = "Semi-annual",(X19/OFFSET(X19,0,-2,,))-1,(X19/OFFSET(X19,0,-4,,))-1),"")</f>
        <v>-0.62621870445833983</v>
      </c>
      <c r="Y20" s="2">
        <f ca="1">IFERROR(IF(Inputs!$E$14 = "Semi-annual",(Y19/OFFSET(Y19,0,-2,,))-1,(Y19/OFFSET(Y19,0,-4,,))-1),"")</f>
        <v>-0.45407450954633033</v>
      </c>
    </row>
    <row r="21" spans="1:25" x14ac:dyDescent="0.3">
      <c r="A21" s="85" t="s">
        <v>21</v>
      </c>
      <c r="B21" s="12">
        <f>-'Interim Inc Statement US$'!B21</f>
        <v>0</v>
      </c>
      <c r="C21" s="12">
        <f>-'Interim Inc Statement US$'!C21</f>
        <v>0</v>
      </c>
      <c r="D21" s="12">
        <f>-'Interim Inc Statement US$'!D21</f>
        <v>0</v>
      </c>
      <c r="E21" s="12">
        <f>-'Interim Inc Statement US$'!E21</f>
        <v>0</v>
      </c>
      <c r="F21" s="12">
        <f>-'Interim Inc Statement US$'!F21</f>
        <v>0</v>
      </c>
      <c r="G21" s="12">
        <f>-'Interim Inc Statement US$'!G21</f>
        <v>0</v>
      </c>
      <c r="H21" s="12">
        <f>-'Interim Inc Statement US$'!H21</f>
        <v>0</v>
      </c>
      <c r="I21" s="12">
        <f>-'Interim Inc Statement US$'!I21</f>
        <v>0</v>
      </c>
      <c r="J21" s="12">
        <f>-'Interim Inc Statement US$'!J21</f>
        <v>0</v>
      </c>
      <c r="K21" s="12">
        <f>-'Interim Inc Statement US$'!K21</f>
        <v>0</v>
      </c>
      <c r="L21" s="12">
        <f>-'Interim Inc Statement US$'!L21</f>
        <v>0</v>
      </c>
      <c r="M21" s="12">
        <f>-'Interim Inc Statement US$'!M21</f>
        <v>0</v>
      </c>
      <c r="N21" s="12">
        <f>-'Interim Inc Statement US$'!N21</f>
        <v>0</v>
      </c>
      <c r="O21" s="12">
        <f>-'Interim Inc Statement US$'!O21</f>
        <v>0</v>
      </c>
      <c r="P21" s="12">
        <f>-'Interim Inc Statement US$'!P21</f>
        <v>0</v>
      </c>
      <c r="Q21" s="12">
        <f>-'Interim Inc Statement US$'!Q21</f>
        <v>0</v>
      </c>
      <c r="R21" s="12">
        <f>-'Interim Inc Statement US$'!R21</f>
        <v>0</v>
      </c>
      <c r="S21" s="12">
        <f>-'Interim Inc Statement US$'!S21</f>
        <v>0</v>
      </c>
      <c r="T21" s="12">
        <f>-'Interim Inc Statement US$'!T21</f>
        <v>0</v>
      </c>
      <c r="U21" s="12">
        <f>-'Interim Inc Statement US$'!U21</f>
        <v>0</v>
      </c>
      <c r="V21" s="12">
        <f>-'Interim Inc Statement US$'!V21</f>
        <v>0</v>
      </c>
      <c r="W21" s="12">
        <f>-'Interim Inc Statement US$'!W21</f>
        <v>0</v>
      </c>
      <c r="X21" s="12">
        <f>-'Interim Inc Statement US$'!X21</f>
        <v>0</v>
      </c>
      <c r="Y21" s="12">
        <f>-'Interim Inc Statement US$'!Y21</f>
        <v>0</v>
      </c>
    </row>
    <row r="22" spans="1:25" x14ac:dyDescent="0.3">
      <c r="A22" s="85" t="s">
        <v>0</v>
      </c>
      <c r="B22" s="2"/>
      <c r="C22" s="2" t="str">
        <f ca="1">IFERROR(IF(Inputs!$E$14 = "Semi-annual",(C21/OFFSET(C21,0,-2,,))-1,(C21/OFFSET(C21,0,-4,,))-1),"")</f>
        <v/>
      </c>
      <c r="D22" s="2" t="str">
        <f ca="1">IFERROR(IF(Inputs!$E$14 = "Semi-annual",(D21/OFFSET(D21,0,-2,,))-1,(D21/OFFSET(D21,0,-4,,))-1),"")</f>
        <v/>
      </c>
      <c r="E22" s="2" t="str">
        <f ca="1">IFERROR(IF(Inputs!$E$14 = "Semi-annual",(E21/OFFSET(E21,0,-2,,))-1,(E21/OFFSET(E21,0,-4,,))-1),"")</f>
        <v/>
      </c>
      <c r="F22" s="2" t="str">
        <f ca="1">IFERROR(IF(Inputs!$E$14 = "Semi-annual",(F21/OFFSET(F21,0,-2,,))-1,(F21/OFFSET(F21,0,-4,,))-1),"")</f>
        <v/>
      </c>
      <c r="G22" s="2" t="str">
        <f ca="1">IFERROR(IF(Inputs!$E$14 = "Semi-annual",(G21/OFFSET(G21,0,-2,,))-1,(G21/OFFSET(G21,0,-4,,))-1),"")</f>
        <v/>
      </c>
      <c r="H22" s="2" t="str">
        <f ca="1">IFERROR(IF(Inputs!$E$14 = "Semi-annual",(H21/OFFSET(H21,0,-2,,))-1,(H21/OFFSET(H21,0,-4,,))-1),"")</f>
        <v/>
      </c>
      <c r="I22" s="2" t="str">
        <f ca="1">IFERROR(IF(Inputs!$E$14 = "Semi-annual",(I21/OFFSET(I21,0,-2,,))-1,(I21/OFFSET(I21,0,-4,,))-1),"")</f>
        <v/>
      </c>
      <c r="J22" s="2" t="str">
        <f ca="1">IFERROR(IF(Inputs!$E$14 = "Semi-annual",(J21/OFFSET(J21,0,-2,,))-1,(J21/OFFSET(J21,0,-4,,))-1),"")</f>
        <v/>
      </c>
      <c r="K22" s="2" t="str">
        <f ca="1">IFERROR(IF(Inputs!$E$14 = "Semi-annual",(K21/OFFSET(K21,0,-2,,))-1,(K21/OFFSET(K21,0,-4,,))-1),"")</f>
        <v/>
      </c>
      <c r="L22" s="2" t="str">
        <f ca="1">IFERROR(IF(Inputs!$E$14 = "Semi-annual",(L21/OFFSET(L21,0,-2,,))-1,(L21/OFFSET(L21,0,-4,,))-1),"")</f>
        <v/>
      </c>
      <c r="M22" s="2" t="str">
        <f ca="1">IFERROR(IF(Inputs!$E$14 = "Semi-annual",(M21/OFFSET(M21,0,-2,,))-1,(M21/OFFSET(M21,0,-4,,))-1),"")</f>
        <v/>
      </c>
      <c r="N22" s="2" t="str">
        <f ca="1">IFERROR(IF(Inputs!$E$14 = "Semi-annual",(N21/OFFSET(N21,0,-2,,))-1,(N21/OFFSET(N21,0,-4,,))-1),"")</f>
        <v/>
      </c>
      <c r="O22" s="2" t="str">
        <f ca="1">IFERROR(IF(Inputs!$E$14 = "Semi-annual",(O21/OFFSET(O21,0,-2,,))-1,(O21/OFFSET(O21,0,-4,,))-1),"")</f>
        <v/>
      </c>
      <c r="P22" s="2" t="str">
        <f ca="1">IFERROR(IF(Inputs!$E$14 = "Semi-annual",(P21/OFFSET(P21,0,-2,,))-1,(P21/OFFSET(P21,0,-4,,))-1),"")</f>
        <v/>
      </c>
      <c r="Q22" s="2" t="str">
        <f ca="1">IFERROR(IF(Inputs!$E$14 = "Semi-annual",(Q21/OFFSET(Q21,0,-2,,))-1,(Q21/OFFSET(Q21,0,-4,,))-1),"")</f>
        <v/>
      </c>
      <c r="R22" s="2" t="str">
        <f ca="1">IFERROR(IF(Inputs!$E$14 = "Semi-annual",(R21/OFFSET(R21,0,-2,,))-1,(R21/OFFSET(R21,0,-4,,))-1),"")</f>
        <v/>
      </c>
      <c r="S22" s="2" t="str">
        <f ca="1">IFERROR(IF(Inputs!$E$14 = "Semi-annual",(S21/OFFSET(S21,0,-2,,))-1,(S21/OFFSET(S21,0,-4,,))-1),"")</f>
        <v/>
      </c>
      <c r="T22" s="2" t="str">
        <f ca="1">IFERROR(IF(Inputs!$E$14 = "Semi-annual",(T21/OFFSET(T21,0,-2,,))-1,(T21/OFFSET(T21,0,-4,,))-1),"")</f>
        <v/>
      </c>
      <c r="U22" s="2" t="str">
        <f ca="1">IFERROR(IF(Inputs!$E$14 = "Semi-annual",(U21/OFFSET(U21,0,-2,,))-1,(U21/OFFSET(U21,0,-4,,))-1),"")</f>
        <v/>
      </c>
      <c r="V22" s="2" t="str">
        <f ca="1">IFERROR(IF(Inputs!$E$14 = "Semi-annual",(V21/OFFSET(V21,0,-2,,))-1,(V21/OFFSET(V21,0,-4,,))-1),"")</f>
        <v/>
      </c>
      <c r="W22" s="2" t="str">
        <f ca="1">IFERROR(IF(Inputs!$E$14 = "Semi-annual",(W21/OFFSET(W21,0,-2,,))-1,(W21/OFFSET(W21,0,-4,,))-1),"")</f>
        <v/>
      </c>
      <c r="X22" s="2" t="str">
        <f ca="1">IFERROR(IF(Inputs!$E$14 = "Semi-annual",(X21/OFFSET(X21,0,-2,,))-1,(X21/OFFSET(X21,0,-4,,))-1),"")</f>
        <v/>
      </c>
      <c r="Y22" s="2" t="str">
        <f ca="1">IFERROR(IF(Inputs!$E$14 = "Semi-annual",(Y21/OFFSET(Y21,0,-2,,))-1,(Y21/OFFSET(Y21,0,-4,,))-1),"")</f>
        <v/>
      </c>
    </row>
    <row r="23" spans="1:25" x14ac:dyDescent="0.3">
      <c r="A23" s="85" t="s">
        <v>22</v>
      </c>
      <c r="B23" s="12">
        <f>-'Interim Inc Statement US$'!B22</f>
        <v>445.76163058312409</v>
      </c>
      <c r="C23" s="12">
        <f>-'Interim Inc Statement US$'!C22</f>
        <v>483.05642977384173</v>
      </c>
      <c r="D23" s="12">
        <f>-'Interim Inc Statement US$'!D22</f>
        <v>446.9718423046603</v>
      </c>
      <c r="E23" s="12">
        <f>-'Interim Inc Statement US$'!E22</f>
        <v>411.37153818486991</v>
      </c>
      <c r="F23" s="12">
        <f>-'Interim Inc Statement US$'!F22</f>
        <v>414.08620852770156</v>
      </c>
      <c r="G23" s="12">
        <f>-'Interim Inc Statement US$'!G22</f>
        <v>448.43397236467462</v>
      </c>
      <c r="H23" s="12">
        <f>-'Interim Inc Statement US$'!H22</f>
        <v>490.19231801897871</v>
      </c>
      <c r="I23" s="12">
        <f>-'Interim Inc Statement US$'!I22</f>
        <v>466.09216935181718</v>
      </c>
      <c r="J23" s="12">
        <f>-'Interim Inc Statement US$'!J22</f>
        <v>477.44235941135588</v>
      </c>
      <c r="K23" s="12">
        <f>-'Interim Inc Statement US$'!K22</f>
        <v>481.06904231625833</v>
      </c>
      <c r="L23" s="12">
        <f>-'Interim Inc Statement US$'!L22</f>
        <v>441.05214464596196</v>
      </c>
      <c r="M23" s="12">
        <f>-'Interim Inc Statement US$'!M22</f>
        <v>509.27052794357883</v>
      </c>
      <c r="N23" s="12">
        <f>-'Interim Inc Statement US$'!N22</f>
        <v>533.98136256716487</v>
      </c>
      <c r="O23" s="12">
        <f>-'Interim Inc Statement US$'!O22</f>
        <v>574.84792989787297</v>
      </c>
      <c r="P23" s="12">
        <f>-'Interim Inc Statement US$'!P22</f>
        <v>434.55237515476216</v>
      </c>
      <c r="Q23" s="12">
        <f>-'Interim Inc Statement US$'!Q22</f>
        <v>648.84918231374934</v>
      </c>
      <c r="R23" s="12">
        <f>-'Interim Inc Statement US$'!R22</f>
        <v>446.70523165431098</v>
      </c>
      <c r="S23" s="12">
        <f>-'Interim Inc Statement US$'!S22</f>
        <v>451.50932459909262</v>
      </c>
      <c r="T23" s="12">
        <f>-'Interim Inc Statement US$'!T22</f>
        <v>478.65821471685814</v>
      </c>
      <c r="U23" s="12">
        <f>-'Interim Inc Statement US$'!U22</f>
        <v>462.87552671030426</v>
      </c>
      <c r="V23" s="12">
        <f>-'Interim Inc Statement US$'!V22</f>
        <v>351.04857439000034</v>
      </c>
      <c r="W23" s="12">
        <f>-'Interim Inc Statement US$'!W22</f>
        <v>124.02635704303859</v>
      </c>
      <c r="X23" s="12">
        <f>-'Interim Inc Statement US$'!X22</f>
        <v>147.22831542551214</v>
      </c>
      <c r="Y23" s="12">
        <f>-'Interim Inc Statement US$'!Y22</f>
        <v>183.92012611665791</v>
      </c>
    </row>
    <row r="24" spans="1:25" x14ac:dyDescent="0.3">
      <c r="A24" s="85" t="s">
        <v>0</v>
      </c>
      <c r="B24" s="2"/>
      <c r="C24" s="2" t="str">
        <f ca="1">IFERROR(IF(Inputs!$E$14 = "Semi-annual",(C23/OFFSET(C23,0,-2,,))-1,(C23/OFFSET(C23,0,-4,,))-1),"")</f>
        <v/>
      </c>
      <c r="D24" s="2" t="str">
        <f ca="1">IFERROR(IF(Inputs!$E$14 = "Semi-annual",(D23/OFFSET(D23,0,-2,,))-1,(D23/OFFSET(D23,0,-4,,))-1),"")</f>
        <v/>
      </c>
      <c r="E24" s="2" t="str">
        <f ca="1">IFERROR(IF(Inputs!$E$14 = "Semi-annual",(E23/OFFSET(E23,0,-2,,))-1,(E23/OFFSET(E23,0,-4,,))-1),"")</f>
        <v/>
      </c>
      <c r="F24" s="2">
        <f ca="1">IFERROR(IF(Inputs!$E$14 = "Semi-annual",(F23/OFFSET(F23,0,-2,,))-1,(F23/OFFSET(F23,0,-4,,))-1),"")</f>
        <v>-7.1059103974440929E-2</v>
      </c>
      <c r="G24" s="2">
        <f ca="1">IFERROR(IF(Inputs!$E$14 = "Semi-annual",(G23/OFFSET(G23,0,-2,,))-1,(G23/OFFSET(G23,0,-4,,))-1),"")</f>
        <v>-7.1673732663856127E-2</v>
      </c>
      <c r="H24" s="2">
        <f ca="1">IFERROR(IF(Inputs!$E$14 = "Semi-annual",(H23/OFFSET(H23,0,-2,,))-1,(H23/OFFSET(H23,0,-4,,))-1),"")</f>
        <v>9.6696193414481213E-2</v>
      </c>
      <c r="I24" s="2">
        <f ca="1">IFERROR(IF(Inputs!$E$14 = "Semi-annual",(I23/OFFSET(I23,0,-2,,))-1,(I23/OFFSET(I23,0,-4,,))-1),"")</f>
        <v>0.13301997364328089</v>
      </c>
      <c r="J24" s="2">
        <f ca="1">IFERROR(IF(Inputs!$E$14 = "Semi-annual",(J23/OFFSET(J23,0,-2,,))-1,(J23/OFFSET(J23,0,-4,,))-1),"")</f>
        <v>0.15300232072185982</v>
      </c>
      <c r="K24" s="2">
        <f ca="1">IFERROR(IF(Inputs!$E$14 = "Semi-annual",(K23/OFFSET(K23,0,-2,,))-1,(K23/OFFSET(K23,0,-4,,))-1),"")</f>
        <v>7.2775641371444211E-2</v>
      </c>
      <c r="L24" s="2">
        <f ca="1">IFERROR(IF(Inputs!$E$14 = "Semi-annual",(L23/OFFSET(L23,0,-2,,))-1,(L23/OFFSET(L23,0,-4,,))-1),"")</f>
        <v>-0.10024672269775181</v>
      </c>
      <c r="M24" s="2">
        <f ca="1">IFERROR(IF(Inputs!$E$14 = "Semi-annual",(M23/OFFSET(M23,0,-2,,))-1,(M23/OFFSET(M23,0,-4,,))-1),"")</f>
        <v>9.2639098940041631E-2</v>
      </c>
      <c r="N24" s="2">
        <f ca="1">IFERROR(IF(Inputs!$E$14 = "Semi-annual",(N23/OFFSET(N23,0,-2,,))-1,(N23/OFFSET(N23,0,-4,,))-1),"")</f>
        <v>0.11842058426804969</v>
      </c>
      <c r="O24" s="2">
        <f ca="1">IFERROR(IF(Inputs!$E$14 = "Semi-annual",(O23/OFFSET(O23,0,-2,,))-1,(O23/OFFSET(O23,0,-4,,))-1),"")</f>
        <v>0.19493852094511555</v>
      </c>
      <c r="P24" s="2">
        <f ca="1">IFERROR(IF(Inputs!$E$14 = "Semi-annual",(P23/OFFSET(P23,0,-2,,))-1,(P23/OFFSET(P23,0,-4,,))-1),"")</f>
        <v>-1.4736963803718139E-2</v>
      </c>
      <c r="Q24" s="2">
        <f ca="1">IFERROR(IF(Inputs!$E$14 = "Semi-annual",(Q23/OFFSET(Q23,0,-2,,))-1,(Q23/OFFSET(Q23,0,-4,,))-1),"")</f>
        <v>0.27407565667266365</v>
      </c>
      <c r="R24" s="2">
        <f ca="1">IFERROR(IF(Inputs!$E$14 = "Semi-annual",(R23/OFFSET(R23,0,-2,,))-1,(R23/OFFSET(R23,0,-4,,))-1),"")</f>
        <v>-0.16344415185815808</v>
      </c>
      <c r="S24" s="2">
        <f ca="1">IFERROR(IF(Inputs!$E$14 = "Semi-annual",(S23/OFFSET(S23,0,-2,,))-1,(S23/OFFSET(S23,0,-4,,))-1),"")</f>
        <v>-0.2145586665341086</v>
      </c>
      <c r="T24" s="2">
        <f ca="1">IFERROR(IF(Inputs!$E$14 = "Semi-annual",(T23/OFFSET(T23,0,-2,,))-1,(T23/OFFSET(T23,0,-4,,))-1),"")</f>
        <v>0.10149717751833265</v>
      </c>
      <c r="U24" s="2">
        <f ca="1">IFERROR(IF(Inputs!$E$14 = "Semi-annual",(U23/OFFSET(U23,0,-2,,))-1,(U23/OFFSET(U23,0,-4,,))-1),"")</f>
        <v>-0.28662077517039697</v>
      </c>
      <c r="V24" s="2">
        <f ca="1">IFERROR(IF(Inputs!$E$14 = "Semi-annual",(V23/OFFSET(V23,0,-2,,))-1,(V23/OFFSET(V23,0,-4,,))-1),"")</f>
        <v>-0.21413820677689277</v>
      </c>
      <c r="W24" s="2">
        <f ca="1">IFERROR(IF(Inputs!$E$14 = "Semi-annual",(W23/OFFSET(W23,0,-2,,))-1,(W23/OFFSET(W23,0,-4,,))-1),"")</f>
        <v>-0.72530720787845304</v>
      </c>
      <c r="X24" s="2">
        <f ca="1">IFERROR(IF(Inputs!$E$14 = "Semi-annual",(X23/OFFSET(X23,0,-2,,))-1,(X23/OFFSET(X23,0,-4,,))-1),"")</f>
        <v>-0.69241452272452386</v>
      </c>
      <c r="Y24" s="2">
        <f ca="1">IFERROR(IF(Inputs!$E$14 = "Semi-annual",(Y23/OFFSET(Y23,0,-2,,))-1,(Y23/OFFSET(Y23,0,-4,,))-1),"")</f>
        <v>-0.60265748456438417</v>
      </c>
    </row>
    <row r="25" spans="1:25" x14ac:dyDescent="0.3">
      <c r="A25" s="85" t="s">
        <v>23</v>
      </c>
      <c r="B25" s="12">
        <f>-'Interim Inc Statement US$'!B23</f>
        <v>268.10300969854563</v>
      </c>
      <c r="C25" s="12">
        <f>-'Interim Inc Statement US$'!C23</f>
        <v>133.36911529109435</v>
      </c>
      <c r="D25" s="12">
        <f>-'Interim Inc Statement US$'!D23</f>
        <v>117.86586252554397</v>
      </c>
      <c r="E25" s="12">
        <f>-'Interim Inc Statement US$'!E23</f>
        <v>544.74883107541064</v>
      </c>
      <c r="F25" s="12">
        <f>-'Interim Inc Statement US$'!F23</f>
        <v>224.14508299917765</v>
      </c>
      <c r="G25" s="12">
        <f>-'Interim Inc Statement US$'!G23</f>
        <v>279.30143607488384</v>
      </c>
      <c r="H25" s="12">
        <f>-'Interim Inc Statement US$'!H23</f>
        <v>293.80854116004514</v>
      </c>
      <c r="I25" s="12">
        <f>-'Interim Inc Statement US$'!I23</f>
        <v>325.96478081678532</v>
      </c>
      <c r="J25" s="12">
        <f>-'Interim Inc Statement US$'!J23</f>
        <v>299.91236817453841</v>
      </c>
      <c r="K25" s="12">
        <f>-'Interim Inc Statement US$'!K23</f>
        <v>289.532293986637</v>
      </c>
      <c r="L25" s="12">
        <f>-'Interim Inc Statement US$'!L23</f>
        <v>344.54706417189072</v>
      </c>
      <c r="M25" s="12">
        <f>-'Interim Inc Statement US$'!M23</f>
        <v>333.74142789501917</v>
      </c>
      <c r="N25" s="12">
        <f>-'Interim Inc Statement US$'!N23</f>
        <v>359.94299254527408</v>
      </c>
      <c r="O25" s="12">
        <f>-'Interim Inc Statement US$'!O23</f>
        <v>318.41307168197545</v>
      </c>
      <c r="P25" s="12">
        <f>-'Interim Inc Statement US$'!P23</f>
        <v>368.75747328273832</v>
      </c>
      <c r="Q25" s="12">
        <f>-'Interim Inc Statement US$'!Q23</f>
        <v>342.21683827983048</v>
      </c>
      <c r="R25" s="12">
        <f>-'Interim Inc Statement US$'!R23</f>
        <v>385.79088188326858</v>
      </c>
      <c r="S25" s="12">
        <f>-'Interim Inc Statement US$'!S23</f>
        <v>384.97897710021971</v>
      </c>
      <c r="T25" s="12">
        <f>-'Interim Inc Statement US$'!T23</f>
        <v>432.45860854956646</v>
      </c>
      <c r="U25" s="12">
        <f>-'Interim Inc Statement US$'!U23</f>
        <v>355.300527049317</v>
      </c>
      <c r="V25" s="12">
        <f>-'Interim Inc Statement US$'!V23</f>
        <v>399.49476830794094</v>
      </c>
      <c r="W25" s="12">
        <f>-'Interim Inc Statement US$'!W23</f>
        <v>130.5161082836627</v>
      </c>
      <c r="X25" s="12">
        <f>-'Interim Inc Statement US$'!X23</f>
        <v>193.3301111648139</v>
      </c>
      <c r="Y25" s="12">
        <f>-'Interim Inc Statement US$'!Y23</f>
        <v>262.74303730951129</v>
      </c>
    </row>
    <row r="26" spans="1:25" x14ac:dyDescent="0.3">
      <c r="A26" s="85" t="s">
        <v>0</v>
      </c>
      <c r="B26" s="2"/>
      <c r="C26" s="2" t="str">
        <f ca="1">IFERROR(IF(Inputs!$E$14 = "Semi-annual",(C25/OFFSET(C25,0,-2,,))-1,(C25/OFFSET(C25,0,-4,,))-1),"")</f>
        <v/>
      </c>
      <c r="D26" s="2" t="str">
        <f ca="1">IFERROR(IF(Inputs!$E$14 = "Semi-annual",(D25/OFFSET(D25,0,-2,,))-1,(D25/OFFSET(D25,0,-4,,))-1),"")</f>
        <v/>
      </c>
      <c r="E26" s="2" t="str">
        <f ca="1">IFERROR(IF(Inputs!$E$14 = "Semi-annual",(E25/OFFSET(E25,0,-2,,))-1,(E25/OFFSET(E25,0,-4,,))-1),"")</f>
        <v/>
      </c>
      <c r="F26" s="2">
        <f ca="1">IFERROR(IF(Inputs!$E$14 = "Semi-annual",(F25/OFFSET(F25,0,-2,,))-1,(F25/OFFSET(F25,0,-4,,))-1),"")</f>
        <v>-0.16395909448683244</v>
      </c>
      <c r="G26" s="2">
        <f ca="1">IFERROR(IF(Inputs!$E$14 = "Semi-annual",(G25/OFFSET(G25,0,-2,,))-1,(G25/OFFSET(G25,0,-4,,))-1),"")</f>
        <v>1.0941987615744053</v>
      </c>
      <c r="H26" s="2">
        <f ca="1">IFERROR(IF(Inputs!$E$14 = "Semi-annual",(H25/OFFSET(H25,0,-2,,))-1,(H25/OFFSET(H25,0,-4,,))-1),"")</f>
        <v>1.4927365300225985</v>
      </c>
      <c r="I26" s="2">
        <f ca="1">IFERROR(IF(Inputs!$E$14 = "Semi-annual",(I25/OFFSET(I25,0,-2,,))-1,(I25/OFFSET(I25,0,-4,,))-1),"")</f>
        <v>-0.40162371679938236</v>
      </c>
      <c r="J26" s="2">
        <f ca="1">IFERROR(IF(Inputs!$E$14 = "Semi-annual",(J25/OFFSET(J25,0,-2,,))-1,(J25/OFFSET(J25,0,-4,,))-1),"")</f>
        <v>0.33802787088413955</v>
      </c>
      <c r="K26" s="2">
        <f ca="1">IFERROR(IF(Inputs!$E$14 = "Semi-annual",(K25/OFFSET(K25,0,-2,,))-1,(K25/OFFSET(K25,0,-4,,))-1),"")</f>
        <v>3.6630165800544345E-2</v>
      </c>
      <c r="L26" s="2">
        <f ca="1">IFERROR(IF(Inputs!$E$14 = "Semi-annual",(L25/OFFSET(L25,0,-2,,))-1,(L25/OFFSET(L25,0,-4,,))-1),"")</f>
        <v>0.17269247112937736</v>
      </c>
      <c r="M26" s="2">
        <f ca="1">IFERROR(IF(Inputs!$E$14 = "Semi-annual",(M25/OFFSET(M25,0,-2,,))-1,(M25/OFFSET(M25,0,-4,,))-1),"")</f>
        <v>2.3857323048052992E-2</v>
      </c>
      <c r="N26" s="2">
        <f ca="1">IFERROR(IF(Inputs!$E$14 = "Semi-annual",(N25/OFFSET(N25,0,-2,,))-1,(N25/OFFSET(N25,0,-4,,))-1),"")</f>
        <v>0.20016054935020211</v>
      </c>
      <c r="O26" s="2">
        <f ca="1">IFERROR(IF(Inputs!$E$14 = "Semi-annual",(O25/OFFSET(O25,0,-2,,))-1,(O25/OFFSET(O25,0,-4,,))-1),"")</f>
        <v>9.9749762963130539E-2</v>
      </c>
      <c r="P26" s="2">
        <f ca="1">IFERROR(IF(Inputs!$E$14 = "Semi-annual",(P25/OFFSET(P25,0,-2,,))-1,(P25/OFFSET(P25,0,-4,,))-1),"")</f>
        <v>7.0267349887414232E-2</v>
      </c>
      <c r="Q26" s="2">
        <f ca="1">IFERROR(IF(Inputs!$E$14 = "Semi-annual",(Q25/OFFSET(Q25,0,-2,,))-1,(Q25/OFFSET(Q25,0,-4,,))-1),"")</f>
        <v>2.5395140298486663E-2</v>
      </c>
      <c r="R26" s="2">
        <f ca="1">IFERROR(IF(Inputs!$E$14 = "Semi-annual",(R25/OFFSET(R25,0,-2,,))-1,(R25/OFFSET(R25,0,-4,,))-1),"")</f>
        <v>7.1811064177734529E-2</v>
      </c>
      <c r="S26" s="2">
        <f ca="1">IFERROR(IF(Inputs!$E$14 = "Semi-annual",(S25/OFFSET(S25,0,-2,,))-1,(S25/OFFSET(S25,0,-4,,))-1),"")</f>
        <v>0.20905519068868172</v>
      </c>
      <c r="T26" s="2">
        <f ca="1">IFERROR(IF(Inputs!$E$14 = "Semi-annual",(T25/OFFSET(T25,0,-2,,))-1,(T25/OFFSET(T25,0,-4,,))-1),"")</f>
        <v>0.17274534045303658</v>
      </c>
      <c r="U26" s="2">
        <f ca="1">IFERROR(IF(Inputs!$E$14 = "Semi-annual",(U25/OFFSET(U25,0,-2,,))-1,(U25/OFFSET(U25,0,-4,,))-1),"")</f>
        <v>3.8232159572428648E-2</v>
      </c>
      <c r="V26" s="2">
        <f ca="1">IFERROR(IF(Inputs!$E$14 = "Semi-annual",(V25/OFFSET(V25,0,-2,,))-1,(V25/OFFSET(V25,0,-4,,))-1),"")</f>
        <v>3.5521540472329916E-2</v>
      </c>
      <c r="W26" s="2">
        <f ca="1">IFERROR(IF(Inputs!$E$14 = "Semi-annual",(W25/OFFSET(W25,0,-2,,))-1,(W25/OFFSET(W25,0,-4,,))-1),"")</f>
        <v>-0.6609786091002936</v>
      </c>
      <c r="X26" s="2">
        <f ca="1">IFERROR(IF(Inputs!$E$14 = "Semi-annual",(X25/OFFSET(X25,0,-2,,))-1,(X25/OFFSET(X25,0,-4,,))-1),"")</f>
        <v>-0.55295117881170519</v>
      </c>
      <c r="Y26" s="2">
        <f ca="1">IFERROR(IF(Inputs!$E$14 = "Semi-annual",(Y25/OFFSET(Y25,0,-2,,))-1,(Y25/OFFSET(Y25,0,-4,,))-1),"")</f>
        <v>-0.26050479155905781</v>
      </c>
    </row>
    <row r="27" spans="1:25" x14ac:dyDescent="0.3">
      <c r="A27" s="85" t="s">
        <v>26</v>
      </c>
      <c r="B27" s="12">
        <f>-'Interim Inc Statement US$'!B27</f>
        <v>66.218213238797418</v>
      </c>
      <c r="C27" s="12">
        <f>-'Interim Inc Statement US$'!C27</f>
        <v>68.311010271048332</v>
      </c>
      <c r="D27" s="12">
        <f>-'Interim Inc Statement US$'!D27</f>
        <v>68.117284186840351</v>
      </c>
      <c r="E27" s="12">
        <f>-'Interim Inc Statement US$'!E27</f>
        <v>73.432442153219043</v>
      </c>
      <c r="F27" s="12">
        <f>-'Interim Inc Statement US$'!F27</f>
        <v>81.507302908791871</v>
      </c>
      <c r="G27" s="12">
        <f>-'Interim Inc Statement US$'!G27</f>
        <v>86.893780112186079</v>
      </c>
      <c r="H27" s="12">
        <f>-'Interim Inc Statement US$'!H27</f>
        <v>90.520647145914694</v>
      </c>
      <c r="I27" s="12">
        <f>-'Interim Inc Statement US$'!I27</f>
        <v>89.92131884600974</v>
      </c>
      <c r="J27" s="12">
        <f>-'Interim Inc Statement US$'!J27</f>
        <v>92.164506088900978</v>
      </c>
      <c r="K27" s="12">
        <f>-'Interim Inc Statement US$'!K27</f>
        <v>96.510764662212324</v>
      </c>
      <c r="L27" s="12">
        <f>-'Interim Inc Statement US$'!L27</f>
        <v>99.695331068255413</v>
      </c>
      <c r="M27" s="12">
        <f>-'Interim Inc Statement US$'!M27</f>
        <v>99.177877157482115</v>
      </c>
      <c r="N27" s="12">
        <f>-'Interim Inc Statement US$'!N27</f>
        <v>98.885437512437932</v>
      </c>
      <c r="O27" s="12">
        <f>-'Interim Inc Statement US$'!O27</f>
        <v>95.291503204094838</v>
      </c>
      <c r="P27" s="12">
        <f>-'Interim Inc Statement US$'!P27</f>
        <v>104.81280879613101</v>
      </c>
      <c r="Q27" s="12">
        <f>-'Interim Inc Statement US$'!Q27</f>
        <v>100.69654754694126</v>
      </c>
      <c r="R27" s="12">
        <f>-'Interim Inc Statement US$'!R27</f>
        <v>0</v>
      </c>
      <c r="S27" s="12">
        <f>-'Interim Inc Statement US$'!S27</f>
        <v>0</v>
      </c>
      <c r="T27" s="12">
        <f>-'Interim Inc Statement US$'!T27</f>
        <v>0</v>
      </c>
      <c r="U27" s="12">
        <f>-'Interim Inc Statement US$'!U27</f>
        <v>0</v>
      </c>
      <c r="V27" s="12">
        <f>-'Interim Inc Statement US$'!V27</f>
        <v>0</v>
      </c>
      <c r="W27" s="12">
        <f>-'Interim Inc Statement US$'!W27</f>
        <v>0</v>
      </c>
      <c r="X27" s="12">
        <f>-'Interim Inc Statement US$'!X27</f>
        <v>0</v>
      </c>
      <c r="Y27" s="12">
        <f>-'Interim Inc Statement US$'!Y27</f>
        <v>0</v>
      </c>
    </row>
    <row r="28" spans="1:25" x14ac:dyDescent="0.3">
      <c r="A28" s="85" t="s">
        <v>0</v>
      </c>
      <c r="B28" s="2"/>
      <c r="C28" s="2" t="str">
        <f ca="1">IFERROR(IF(Inputs!$E$14 = "Semi-annual",(C27/OFFSET(C27,0,-2,,))-1,(C27/OFFSET(C27,0,-4,,))-1),"")</f>
        <v/>
      </c>
      <c r="D28" s="2" t="str">
        <f ca="1">IFERROR(IF(Inputs!$E$14 = "Semi-annual",(D27/OFFSET(D27,0,-2,,))-1,(D27/OFFSET(D27,0,-4,,))-1),"")</f>
        <v/>
      </c>
      <c r="E28" s="2" t="str">
        <f ca="1">IFERROR(IF(Inputs!$E$14 = "Semi-annual",(E27/OFFSET(E27,0,-2,,))-1,(E27/OFFSET(E27,0,-4,,))-1),"")</f>
        <v/>
      </c>
      <c r="F28" s="2">
        <f ca="1">IFERROR(IF(Inputs!$E$14 = "Semi-annual",(F27/OFFSET(F27,0,-2,,))-1,(F27/OFFSET(F27,0,-4,,))-1),"")</f>
        <v>0.23088949281761262</v>
      </c>
      <c r="G28" s="2">
        <f ca="1">IFERROR(IF(Inputs!$E$14 = "Semi-annual",(G27/OFFSET(G27,0,-2,,))-1,(G27/OFFSET(G27,0,-4,,))-1),"")</f>
        <v>0.27203184036371253</v>
      </c>
      <c r="H28" s="2">
        <f ca="1">IFERROR(IF(Inputs!$E$14 = "Semi-annual",(H27/OFFSET(H27,0,-2,,))-1,(H27/OFFSET(H27,0,-4,,))-1),"")</f>
        <v>0.32889395439817704</v>
      </c>
      <c r="I28" s="2">
        <f ca="1">IFERROR(IF(Inputs!$E$14 = "Semi-annual",(I27/OFFSET(I27,0,-2,,))-1,(I27/OFFSET(I27,0,-4,,))-1),"")</f>
        <v>0.22454484978704858</v>
      </c>
      <c r="J28" s="2">
        <f ca="1">IFERROR(IF(Inputs!$E$14 = "Semi-annual",(J27/OFFSET(J27,0,-2,,))-1,(J27/OFFSET(J27,0,-4,,))-1),"")</f>
        <v>0.13075151305196187</v>
      </c>
      <c r="K28" s="2">
        <f ca="1">IFERROR(IF(Inputs!$E$14 = "Semi-annual",(K27/OFFSET(K27,0,-2,,))-1,(K27/OFFSET(K27,0,-4,,))-1),"")</f>
        <v>0.11067517764344048</v>
      </c>
      <c r="L28" s="2">
        <f ca="1">IFERROR(IF(Inputs!$E$14 = "Semi-annual",(L27/OFFSET(L27,0,-2,,))-1,(L27/OFFSET(L27,0,-4,,))-1),"")</f>
        <v>0.10135459932750579</v>
      </c>
      <c r="M28" s="2">
        <f ca="1">IFERROR(IF(Inputs!$E$14 = "Semi-annual",(M27/OFFSET(M27,0,-2,,))-1,(M27/OFFSET(M27,0,-4,,))-1),"")</f>
        <v>0.1029406422221657</v>
      </c>
      <c r="N28" s="2">
        <f ca="1">IFERROR(IF(Inputs!$E$14 = "Semi-annual",(N27/OFFSET(N27,0,-2,,))-1,(N27/OFFSET(N27,0,-4,,))-1),"")</f>
        <v>7.2923207737412676E-2</v>
      </c>
      <c r="O28" s="2">
        <f ca="1">IFERROR(IF(Inputs!$E$14 = "Semi-annual",(O27/OFFSET(O27,0,-2,,))-1,(O27/OFFSET(O27,0,-4,,))-1),"")</f>
        <v>-1.2633424492955792E-2</v>
      </c>
      <c r="P28" s="2">
        <f ca="1">IFERROR(IF(Inputs!$E$14 = "Semi-annual",(P27/OFFSET(P27,0,-2,,))-1,(P27/OFFSET(P27,0,-4,,))-1),"")</f>
        <v>5.1331167398119826E-2</v>
      </c>
      <c r="Q28" s="2">
        <f ca="1">IFERROR(IF(Inputs!$E$14 = "Semi-annual",(Q27/OFFSET(Q27,0,-2,,))-1,(Q27/OFFSET(Q27,0,-4,,))-1),"")</f>
        <v>1.5312592212955778E-2</v>
      </c>
      <c r="R28" s="2">
        <f ca="1">IFERROR(IF(Inputs!$E$14 = "Semi-annual",(R27/OFFSET(R27,0,-2,,))-1,(R27/OFFSET(R27,0,-4,,))-1),"")</f>
        <v>-1</v>
      </c>
      <c r="S28" s="2">
        <f ca="1">IFERROR(IF(Inputs!$E$14 = "Semi-annual",(S27/OFFSET(S27,0,-2,,))-1,(S27/OFFSET(S27,0,-4,,))-1),"")</f>
        <v>-1</v>
      </c>
      <c r="T28" s="2">
        <f ca="1">IFERROR(IF(Inputs!$E$14 = "Semi-annual",(T27/OFFSET(T27,0,-2,,))-1,(T27/OFFSET(T27,0,-4,,))-1),"")</f>
        <v>-1</v>
      </c>
      <c r="U28" s="2">
        <f ca="1">IFERROR(IF(Inputs!$E$14 = "Semi-annual",(U27/OFFSET(U27,0,-2,,))-1,(U27/OFFSET(U27,0,-4,,))-1),"")</f>
        <v>-1</v>
      </c>
      <c r="V28" s="2" t="str">
        <f ca="1">IFERROR(IF(Inputs!$E$14 = "Semi-annual",(V27/OFFSET(V27,0,-2,,))-1,(V27/OFFSET(V27,0,-4,,))-1),"")</f>
        <v/>
      </c>
      <c r="W28" s="2" t="str">
        <f ca="1">IFERROR(IF(Inputs!$E$14 = "Semi-annual",(W27/OFFSET(W27,0,-2,,))-1,(W27/OFFSET(W27,0,-4,,))-1),"")</f>
        <v/>
      </c>
      <c r="X28" s="2" t="str">
        <f ca="1">IFERROR(IF(Inputs!$E$14 = "Semi-annual",(X27/OFFSET(X27,0,-2,,))-1,(X27/OFFSET(X27,0,-4,,))-1),"")</f>
        <v/>
      </c>
      <c r="Y28" s="2" t="str">
        <f ca="1">IFERROR(IF(Inputs!$E$14 = "Semi-annual",(Y27/OFFSET(Y27,0,-2,,))-1,(Y27/OFFSET(Y27,0,-4,,))-1),"")</f>
        <v/>
      </c>
    </row>
    <row r="29" spans="1:25" x14ac:dyDescent="0.3">
      <c r="A29" s="85" t="s">
        <v>28</v>
      </c>
      <c r="B29" s="12">
        <f>-'Interim Inc Statement US$'!B29</f>
        <v>123.55349543336591</v>
      </c>
      <c r="C29" s="12">
        <f>-'Interim Inc Statement US$'!C29</f>
        <v>143.94105735685184</v>
      </c>
      <c r="D29" s="12">
        <f>-'Interim Inc Statement US$'!D29</f>
        <v>126.28485270593998</v>
      </c>
      <c r="E29" s="12">
        <f>-'Interim Inc Statement US$'!E29</f>
        <v>119.88970147464333</v>
      </c>
      <c r="F29" s="12">
        <f>-'Interim Inc Statement US$'!F29</f>
        <v>132.44936722678679</v>
      </c>
      <c r="G29" s="12">
        <f>-'Interim Inc Statement US$'!G29</f>
        <v>156.71913913090705</v>
      </c>
      <c r="H29" s="12">
        <f>-'Interim Inc Statement US$'!H29</f>
        <v>168.76730823814603</v>
      </c>
      <c r="I29" s="12">
        <f>-'Interim Inc Statement US$'!I29</f>
        <v>158.86099662795053</v>
      </c>
      <c r="J29" s="12">
        <f>-'Interim Inc Statement US$'!J29</f>
        <v>172.24186383827396</v>
      </c>
      <c r="K29" s="12">
        <f>-'Interim Inc Statement US$'!K29</f>
        <v>179.65850037119526</v>
      </c>
      <c r="L29" s="12">
        <f>-'Interim Inc Statement US$'!L29</f>
        <v>192.21259829959644</v>
      </c>
      <c r="M29" s="12">
        <f>-'Interim Inc Statement US$'!M29</f>
        <v>192.84587225065968</v>
      </c>
      <c r="N29" s="12">
        <f>-'Interim Inc Statement US$'!N29</f>
        <v>211.21929452656741</v>
      </c>
      <c r="O29" s="12">
        <f>-'Interim Inc Statement US$'!O29</f>
        <v>215.37429179462086</v>
      </c>
      <c r="P29" s="12">
        <f>-'Interim Inc Statement US$'!P29</f>
        <v>205.03527560119059</v>
      </c>
      <c r="Q29" s="12">
        <f>-'Interim Inc Statement US$'!Q29</f>
        <v>202.15021199273173</v>
      </c>
      <c r="R29" s="12">
        <f>-'Interim Inc Statement US$'!R29</f>
        <v>342.92522834068319</v>
      </c>
      <c r="S29" s="12">
        <f>-'Interim Inc Statement US$'!S29</f>
        <v>369.28080521846317</v>
      </c>
      <c r="T29" s="12">
        <f>-'Interim Inc Statement US$'!T29</f>
        <v>390.80322593971329</v>
      </c>
      <c r="U29" s="12">
        <f>-'Interim Inc Statement US$'!U29</f>
        <v>393.93661847685468</v>
      </c>
      <c r="V29" s="12">
        <f>-'Interim Inc Statement US$'!V29</f>
        <v>375.64433437910867</v>
      </c>
      <c r="W29" s="12">
        <f>-'Interim Inc Statement US$'!W29</f>
        <v>351.16765046488251</v>
      </c>
      <c r="X29" s="12">
        <f>-'Interim Inc Statement US$'!X29</f>
        <v>312.30248726623785</v>
      </c>
      <c r="Y29" s="12">
        <f>-'Interim Inc Statement US$'!Y29</f>
        <v>328.80414383304554</v>
      </c>
    </row>
    <row r="30" spans="1:25" x14ac:dyDescent="0.3">
      <c r="A30" s="85" t="s">
        <v>0</v>
      </c>
      <c r="B30" s="2"/>
      <c r="C30" s="2" t="str">
        <f ca="1">IFERROR(IF(Inputs!$E$14 = "Semi-annual",(C29/OFFSET(C29,0,-2,,))-1,(C29/OFFSET(C29,0,-4,,))-1),"")</f>
        <v/>
      </c>
      <c r="D30" s="2" t="str">
        <f ca="1">IFERROR(IF(Inputs!$E$14 = "Semi-annual",(D29/OFFSET(D29,0,-2,,))-1,(D29/OFFSET(D29,0,-4,,))-1),"")</f>
        <v/>
      </c>
      <c r="E30" s="2" t="str">
        <f ca="1">IFERROR(IF(Inputs!$E$14 = "Semi-annual",(E29/OFFSET(E29,0,-2,,))-1,(E29/OFFSET(E29,0,-4,,))-1),"")</f>
        <v/>
      </c>
      <c r="F30" s="2">
        <f ca="1">IFERROR(IF(Inputs!$E$14 = "Semi-annual",(F29/OFFSET(F29,0,-2,,))-1,(F29/OFFSET(F29,0,-4,,))-1),"")</f>
        <v>7.2000162862397854E-2</v>
      </c>
      <c r="G30" s="2">
        <f ca="1">IFERROR(IF(Inputs!$E$14 = "Semi-annual",(G29/OFFSET(G29,0,-2,,))-1,(G29/OFFSET(G29,0,-4,,))-1),"")</f>
        <v>8.8773015904533681E-2</v>
      </c>
      <c r="H30" s="2">
        <f ca="1">IFERROR(IF(Inputs!$E$14 = "Semi-annual",(H29/OFFSET(H29,0,-2,,))-1,(H29/OFFSET(H29,0,-4,,))-1),"")</f>
        <v>0.33640182984675415</v>
      </c>
      <c r="I30" s="2">
        <f ca="1">IFERROR(IF(Inputs!$E$14 = "Semi-annual",(I29/OFFSET(I29,0,-2,,))-1,(I29/OFFSET(I29,0,-4,,))-1),"")</f>
        <v>0.32505957287373533</v>
      </c>
      <c r="J30" s="2">
        <f ca="1">IFERROR(IF(Inputs!$E$14 = "Semi-annual",(J29/OFFSET(J29,0,-2,,))-1,(J29/OFFSET(J29,0,-4,,))-1),"")</f>
        <v>0.30043553581764093</v>
      </c>
      <c r="K30" s="2">
        <f ca="1">IFERROR(IF(Inputs!$E$14 = "Semi-annual",(K29/OFFSET(K29,0,-2,,))-1,(K29/OFFSET(K29,0,-4,,))-1),"")</f>
        <v>0.14637243011606271</v>
      </c>
      <c r="L30" s="2">
        <f ca="1">IFERROR(IF(Inputs!$E$14 = "Semi-annual",(L29/OFFSET(L29,0,-2,,))-1,(L29/OFFSET(L29,0,-4,,))-1),"")</f>
        <v>0.13892080347911318</v>
      </c>
      <c r="M30" s="2">
        <f ca="1">IFERROR(IF(Inputs!$E$14 = "Semi-annual",(M29/OFFSET(M29,0,-2,,))-1,(M29/OFFSET(M29,0,-4,,))-1),"")</f>
        <v>0.2139283798042706</v>
      </c>
      <c r="N30" s="2">
        <f ca="1">IFERROR(IF(Inputs!$E$14 = "Semi-annual",(N29/OFFSET(N29,0,-2,,))-1,(N29/OFFSET(N29,0,-4,,))-1),"")</f>
        <v>0.22629475680135003</v>
      </c>
      <c r="O30" s="2">
        <f ca="1">IFERROR(IF(Inputs!$E$14 = "Semi-annual",(O29/OFFSET(O29,0,-2,,))-1,(O29/OFFSET(O29,0,-4,,))-1),"")</f>
        <v>0.19879822746840614</v>
      </c>
      <c r="P30" s="2">
        <f ca="1">IFERROR(IF(Inputs!$E$14 = "Semi-annual",(P29/OFFSET(P29,0,-2,,))-1,(P29/OFFSET(P29,0,-4,,))-1),"")</f>
        <v>6.6710909768816551E-2</v>
      </c>
      <c r="Q30" s="2">
        <f ca="1">IFERROR(IF(Inputs!$E$14 = "Semi-annual",(Q29/OFFSET(Q29,0,-2,,))-1,(Q29/OFFSET(Q29,0,-4,,))-1),"")</f>
        <v>4.8247544183773527E-2</v>
      </c>
      <c r="R30" s="2">
        <f ca="1">IFERROR(IF(Inputs!$E$14 = "Semi-annual",(R29/OFFSET(R29,0,-2,,))-1,(R29/OFFSET(R29,0,-4,,))-1),"")</f>
        <v>0.62355067565832467</v>
      </c>
      <c r="S30" s="2">
        <f ca="1">IFERROR(IF(Inputs!$E$14 = "Semi-annual",(S29/OFFSET(S29,0,-2,,))-1,(S29/OFFSET(S29,0,-4,,))-1),"")</f>
        <v>0.71460020665143409</v>
      </c>
      <c r="T30" s="2">
        <f ca="1">IFERROR(IF(Inputs!$E$14 = "Semi-annual",(T29/OFFSET(T29,0,-2,,))-1,(T29/OFFSET(T29,0,-4,,))-1),"")</f>
        <v>0.90602921762524247</v>
      </c>
      <c r="U30" s="2">
        <f ca="1">IFERROR(IF(Inputs!$E$14 = "Semi-annual",(U29/OFFSET(U29,0,-2,,))-1,(U29/OFFSET(U29,0,-4,,))-1),"")</f>
        <v>0.94873215612070982</v>
      </c>
      <c r="V30" s="2">
        <f ca="1">IFERROR(IF(Inputs!$E$14 = "Semi-annual",(V29/OFFSET(V29,0,-2,,))-1,(V29/OFFSET(V29,0,-4,,))-1),"")</f>
        <v>9.5411778820543081E-2</v>
      </c>
      <c r="W30" s="2">
        <f ca="1">IFERROR(IF(Inputs!$E$14 = "Semi-annual",(W29/OFFSET(W29,0,-2,,))-1,(W29/OFFSET(W29,0,-4,,))-1),"")</f>
        <v>-4.904981384793361E-2</v>
      </c>
      <c r="X30" s="2">
        <f ca="1">IFERROR(IF(Inputs!$E$14 = "Semi-annual",(X29/OFFSET(X29,0,-2,,))-1,(X29/OFFSET(X29,0,-4,,))-1),"")</f>
        <v>-0.20087024226761441</v>
      </c>
      <c r="Y30" s="2">
        <f ca="1">IFERROR(IF(Inputs!$E$14 = "Semi-annual",(Y29/OFFSET(Y29,0,-2,,))-1,(Y29/OFFSET(Y29,0,-4,,))-1),"")</f>
        <v>-0.16533744665738892</v>
      </c>
    </row>
    <row r="31" spans="1:25" x14ac:dyDescent="0.3">
      <c r="A31" s="14" t="s">
        <v>283</v>
      </c>
      <c r="B31" s="79">
        <f>(B9+B11+B13+B15+B17+B19+B27+B29)</f>
        <v>2462.1869776230892</v>
      </c>
      <c r="C31" s="79">
        <f>(C9+C11+C13+C15+C17+C19+C27+C29)</f>
        <v>2532.3867379052917</v>
      </c>
      <c r="D31" s="79">
        <f t="shared" ref="D31:J31" si="0">(D9+D11+D13+D15+D17+D19+D27+D29)</f>
        <v>2455.283681700942</v>
      </c>
      <c r="E31" s="79">
        <f t="shared" si="0"/>
        <v>2242.686728210047</v>
      </c>
      <c r="F31" s="79">
        <f t="shared" si="0"/>
        <v>2320.7749015726545</v>
      </c>
      <c r="G31" s="79">
        <f t="shared" si="0"/>
        <v>2467.9385226505706</v>
      </c>
      <c r="H31" s="79">
        <f t="shared" si="0"/>
        <v>2727.1262763027689</v>
      </c>
      <c r="I31" s="79">
        <f t="shared" si="0"/>
        <v>2484.8257774447361</v>
      </c>
      <c r="J31" s="79">
        <f t="shared" si="0"/>
        <v>2769.4678632943524</v>
      </c>
      <c r="K31" s="79">
        <f>(K9+K11+K13+K15+K17+K19+K27+K29)</f>
        <v>2694.1351150705273</v>
      </c>
      <c r="L31" s="79">
        <f t="shared" ref="L31:N31" si="1">(L9+L11+L13+L15+L17+L19+L27+L29)</f>
        <v>3069.0210716051747</v>
      </c>
      <c r="M31" s="79">
        <f t="shared" si="1"/>
        <v>2902.133595870132</v>
      </c>
      <c r="N31" s="79">
        <f t="shared" si="1"/>
        <v>3231.5760979064717</v>
      </c>
      <c r="O31" s="79">
        <f>(O9+O11+O13+O15+O17+O19+O27+O29)</f>
        <v>3181.8065338147767</v>
      </c>
      <c r="P31" s="79">
        <f t="shared" ref="P31:Q31" si="2">(P9+P11+P13+P15+P17+P19+P27+P29)</f>
        <v>3500.1357681919667</v>
      </c>
      <c r="Q31" s="79">
        <f t="shared" si="2"/>
        <v>3122.3500908540291</v>
      </c>
      <c r="R31" s="79">
        <f t="shared" ref="R31:U31" si="3">(R9+R11+R13+R15+R17+R19+R27+R29)</f>
        <v>3253.2774951793754</v>
      </c>
      <c r="S31" s="79">
        <f t="shared" si="3"/>
        <v>3240.5511955911702</v>
      </c>
      <c r="T31" s="79">
        <f t="shared" si="3"/>
        <v>3481.6326155908177</v>
      </c>
      <c r="U31" s="79">
        <f t="shared" si="3"/>
        <v>3199.2198842841485</v>
      </c>
      <c r="V31" s="79">
        <f t="shared" ref="V31:Y31" si="4">(V9+V11+V13+V15+V17+V19+V27+V29)</f>
        <v>3096.8297804468184</v>
      </c>
      <c r="W31" s="79">
        <f t="shared" si="4"/>
        <v>1266.2225753928824</v>
      </c>
      <c r="X31" s="79">
        <f t="shared" si="4"/>
        <v>1146.5962746774733</v>
      </c>
      <c r="Y31" s="79">
        <f t="shared" si="4"/>
        <v>1385.0311538172809</v>
      </c>
    </row>
    <row r="32" spans="1:25" x14ac:dyDescent="0.3">
      <c r="A32" s="85" t="s">
        <v>0</v>
      </c>
      <c r="B32" s="2"/>
      <c r="C32" s="2" t="str">
        <f ca="1">IFERROR(IF(Inputs!$E$14 = "Semi-annual",(C31/OFFSET(C31,0,-2,,))-1,(C31/OFFSET(C31,0,-4,,))-1),"")</f>
        <v/>
      </c>
      <c r="D32" s="2" t="str">
        <f ca="1">IFERROR(IF(Inputs!$E$14 = "Semi-annual",(D31/OFFSET(D31,0,-2,,))-1,(D31/OFFSET(D31,0,-4,,))-1),"")</f>
        <v/>
      </c>
      <c r="E32" s="2" t="str">
        <f ca="1">IFERROR(IF(Inputs!$E$14 = "Semi-annual",(E31/OFFSET(E31,0,-2,,))-1,(E31/OFFSET(E31,0,-4,,))-1),"")</f>
        <v/>
      </c>
      <c r="F32" s="2">
        <f ca="1">IFERROR(IF(Inputs!$E$14 = "Semi-annual",(F31/OFFSET(F31,0,-2,,))-1,(F31/OFFSET(F31,0,-4,,))-1),"")</f>
        <v>-5.7433524478692988E-2</v>
      </c>
      <c r="G32" s="2">
        <f ca="1">IFERROR(IF(Inputs!$E$14 = "Semi-annual",(G31/OFFSET(G31,0,-2,,))-1,(G31/OFFSET(G31,0,-4,,))-1),"")</f>
        <v>-2.5449594364891803E-2</v>
      </c>
      <c r="H32" s="2">
        <f ca="1">IFERROR(IF(Inputs!$E$14 = "Semi-annual",(H31/OFFSET(H31,0,-2,,))-1,(H31/OFFSET(H31,0,-4,,))-1),"")</f>
        <v>0.11071738741549542</v>
      </c>
      <c r="I32" s="2">
        <f ca="1">IFERROR(IF(Inputs!$E$14 = "Semi-annual",(I31/OFFSET(I31,0,-2,,))-1,(I31/OFFSET(I31,0,-4,,))-1),"")</f>
        <v>0.10796828919032619</v>
      </c>
      <c r="J32" s="2">
        <f ca="1">IFERROR(IF(Inputs!$E$14 = "Semi-annual",(J31/OFFSET(J31,0,-2,,))-1,(J31/OFFSET(J31,0,-4,,))-1),"")</f>
        <v>0.19333756212963382</v>
      </c>
      <c r="K32" s="2">
        <f ca="1">IFERROR(IF(Inputs!$E$14 = "Semi-annual",(K31/OFFSET(K31,0,-2,,))-1,(K31/OFFSET(K31,0,-4,,))-1),"")</f>
        <v>9.1654062831768135E-2</v>
      </c>
      <c r="L32" s="2">
        <f ca="1">IFERROR(IF(Inputs!$E$14 = "Semi-annual",(L31/OFFSET(L31,0,-2,,))-1,(L31/OFFSET(L31,0,-4,,))-1),"")</f>
        <v>0.12536815704988946</v>
      </c>
      <c r="M32" s="2">
        <f ca="1">IFERROR(IF(Inputs!$E$14 = "Semi-annual",(M31/OFFSET(M31,0,-2,,))-1,(M31/OFFSET(M31,0,-4,,))-1),"")</f>
        <v>0.16794248603398398</v>
      </c>
      <c r="N32" s="2">
        <f ca="1">IFERROR(IF(Inputs!$E$14 = "Semi-annual",(N31/OFFSET(N31,0,-2,,))-1,(N31/OFFSET(N31,0,-4,,))-1),"")</f>
        <v>0.1668581321114988</v>
      </c>
      <c r="O32" s="2">
        <f ca="1">IFERROR(IF(Inputs!$E$14 = "Semi-annual",(O31/OFFSET(O31,0,-2,,))-1,(O31/OFFSET(O31,0,-4,,))-1),"")</f>
        <v>0.18101223506434394</v>
      </c>
      <c r="P32" s="2">
        <f ca="1">IFERROR(IF(Inputs!$E$14 = "Semi-annual",(P31/OFFSET(P31,0,-2,,))-1,(P31/OFFSET(P31,0,-4,,))-1),"")</f>
        <v>0.14047303245178044</v>
      </c>
      <c r="Q32" s="2">
        <f ca="1">IFERROR(IF(Inputs!$E$14 = "Semi-annual",(Q31/OFFSET(Q31,0,-2,,))-1,(Q31/OFFSET(Q31,0,-4,,))-1),"")</f>
        <v>7.5880895110161495E-2</v>
      </c>
      <c r="R32" s="2">
        <f ca="1">IFERROR(IF(Inputs!$E$14 = "Semi-annual",(R31/OFFSET(R31,0,-2,,))-1,(R31/OFFSET(R31,0,-4,,))-1),"")</f>
        <v>6.7154220155800637E-3</v>
      </c>
      <c r="S32" s="2">
        <f ca="1">IFERROR(IF(Inputs!$E$14 = "Semi-annual",(S31/OFFSET(S31,0,-2,,))-1,(S31/OFFSET(S31,0,-4,,))-1),"")</f>
        <v>1.8462675575048992E-2</v>
      </c>
      <c r="T32" s="2">
        <f ca="1">IFERROR(IF(Inputs!$E$14 = "Semi-annual",(T31/OFFSET(T31,0,-2,,))-1,(T31/OFFSET(T31,0,-4,,))-1),"")</f>
        <v>-5.2864099642360163E-3</v>
      </c>
      <c r="U32" s="2">
        <f ca="1">IFERROR(IF(Inputs!$E$14 = "Semi-annual",(U31/OFFSET(U31,0,-2,,))-1,(U31/OFFSET(U31,0,-4,,))-1),"")</f>
        <v>2.4619210272187608E-2</v>
      </c>
      <c r="V32" s="2">
        <f ca="1">IFERROR(IF(Inputs!$E$14 = "Semi-annual",(V31/OFFSET(V31,0,-2,,))-1,(V31/OFFSET(V31,0,-4,,))-1),"")</f>
        <v>-4.8089262279156109E-2</v>
      </c>
      <c r="W32" s="2">
        <f ca="1">IFERROR(IF(Inputs!$E$14 = "Semi-annual",(W31/OFFSET(W31,0,-2,,))-1,(W31/OFFSET(W31,0,-4,,))-1),"")</f>
        <v>-0.60925703716219592</v>
      </c>
      <c r="X32" s="2">
        <f ca="1">IFERROR(IF(Inputs!$E$14 = "Semi-annual",(X31/OFFSET(X31,0,-2,,))-1,(X31/OFFSET(X31,0,-4,,))-1),"")</f>
        <v>-0.6706728132247517</v>
      </c>
      <c r="Y32" s="2">
        <f ca="1">IFERROR(IF(Inputs!$E$14 = "Semi-annual",(Y31/OFFSET(Y31,0,-2,,))-1,(Y31/OFFSET(Y31,0,-4,,))-1),"")</f>
        <v>-0.56707222263117663</v>
      </c>
    </row>
    <row r="33" spans="1:25" x14ac:dyDescent="0.3">
      <c r="A33" s="14" t="s">
        <v>282</v>
      </c>
      <c r="B33" s="79">
        <f>B31-B11</f>
        <v>1984.1237796064054</v>
      </c>
      <c r="C33" s="79">
        <f t="shared" ref="C33:J33" si="5">C31-C11</f>
        <v>2005.4160872429188</v>
      </c>
      <c r="D33" s="79">
        <f t="shared" si="5"/>
        <v>1921.8258493613048</v>
      </c>
      <c r="E33" s="79">
        <f t="shared" si="5"/>
        <v>1847.8000239779406</v>
      </c>
      <c r="F33" s="79">
        <f t="shared" si="5"/>
        <v>1996.2011774894297</v>
      </c>
      <c r="G33" s="79">
        <f t="shared" si="5"/>
        <v>2059.0722537298379</v>
      </c>
      <c r="H33" s="79">
        <f t="shared" si="5"/>
        <v>2184.0023934272808</v>
      </c>
      <c r="I33" s="79">
        <f t="shared" si="5"/>
        <v>2036.7178718621208</v>
      </c>
      <c r="J33" s="79">
        <f t="shared" si="5"/>
        <v>2271.6284410600429</v>
      </c>
      <c r="K33" s="79">
        <f>K31-K11</f>
        <v>2173.7193763919822</v>
      </c>
      <c r="L33" s="79">
        <f t="shared" ref="L33:N33" si="6">L31-L11</f>
        <v>2318.5146193233477</v>
      </c>
      <c r="M33" s="79">
        <f t="shared" si="6"/>
        <v>2323.5959791181531</v>
      </c>
      <c r="N33" s="79">
        <f t="shared" si="6"/>
        <v>2578.9322103243812</v>
      </c>
      <c r="O33" s="79">
        <f>O31-O11</f>
        <v>2434.9690615485374</v>
      </c>
      <c r="P33" s="79">
        <f t="shared" ref="P33:Q33" si="7">P31-P11</f>
        <v>2451.2426232321445</v>
      </c>
      <c r="Q33" s="79">
        <f t="shared" si="7"/>
        <v>2509.8425196850403</v>
      </c>
      <c r="R33" s="79">
        <f t="shared" ref="R33:U33" si="8">R31-R11</f>
        <v>2590.7399377930992</v>
      </c>
      <c r="S33" s="79">
        <f t="shared" si="8"/>
        <v>2499.7469891711357</v>
      </c>
      <c r="T33" s="79">
        <f t="shared" si="8"/>
        <v>2653.8265575440996</v>
      </c>
      <c r="U33" s="79">
        <f t="shared" si="8"/>
        <v>2519.6792174115744</v>
      </c>
      <c r="V33" s="79">
        <f t="shared" ref="V33:Y33" si="9">V31-V11</f>
        <v>2473.7371940560747</v>
      </c>
      <c r="W33" s="79">
        <f t="shared" si="9"/>
        <v>1176.8082249665058</v>
      </c>
      <c r="X33" s="79">
        <f t="shared" si="9"/>
        <v>1016.4702383165409</v>
      </c>
      <c r="Y33" s="79">
        <f t="shared" si="9"/>
        <v>1244.6513024547705</v>
      </c>
    </row>
    <row r="34" spans="1:25" x14ac:dyDescent="0.3">
      <c r="A34" s="85" t="s">
        <v>0</v>
      </c>
      <c r="B34" s="2"/>
      <c r="C34" s="2" t="str">
        <f ca="1">IFERROR(IF(Inputs!$E$14 = "Semi-annual",(C33/OFFSET(C33,0,-2,,))-1,(C33/OFFSET(C33,0,-4,,))-1),"")</f>
        <v/>
      </c>
      <c r="D34" s="2" t="str">
        <f ca="1">IFERROR(IF(Inputs!$E$14 = "Semi-annual",(D33/OFFSET(D33,0,-2,,))-1,(D33/OFFSET(D33,0,-4,,))-1),"")</f>
        <v/>
      </c>
      <c r="E34" s="2" t="str">
        <f ca="1">IFERROR(IF(Inputs!$E$14 = "Semi-annual",(E33/OFFSET(E33,0,-2,,))-1,(E33/OFFSET(E33,0,-4,,))-1),"")</f>
        <v/>
      </c>
      <c r="F34" s="2">
        <f ca="1">IFERROR(IF(Inputs!$E$14 = "Semi-annual",(F33/OFFSET(F33,0,-2,,))-1,(F33/OFFSET(F33,0,-4,,))-1),"")</f>
        <v>6.0870183640560072E-3</v>
      </c>
      <c r="G34" s="2">
        <f ca="1">IFERROR(IF(Inputs!$E$14 = "Semi-annual",(G33/OFFSET(G33,0,-2,,))-1,(G33/OFFSET(G33,0,-4,,))-1),"")</f>
        <v>2.6755627836159812E-2</v>
      </c>
      <c r="H34" s="2">
        <f ca="1">IFERROR(IF(Inputs!$E$14 = "Semi-annual",(H33/OFFSET(H33,0,-2,,))-1,(H33/OFFSET(H33,0,-4,,))-1),"")</f>
        <v>0.13642055244137086</v>
      </c>
      <c r="I34" s="2">
        <f ca="1">IFERROR(IF(Inputs!$E$14 = "Semi-annual",(I33/OFFSET(I33,0,-2,,))-1,(I33/OFFSET(I33,0,-4,,))-1),"")</f>
        <v>0.10223933620126169</v>
      </c>
      <c r="J34" s="2">
        <f ca="1">IFERROR(IF(Inputs!$E$14 = "Semi-annual",(J33/OFFSET(J33,0,-2,,))-1,(J33/OFFSET(J33,0,-4,,))-1),"")</f>
        <v>0.13797570439118312</v>
      </c>
      <c r="K34" s="2">
        <f ca="1">IFERROR(IF(Inputs!$E$14 = "Semi-annual",(K33/OFFSET(K33,0,-2,,))-1,(K33/OFFSET(K33,0,-4,,))-1),"")</f>
        <v>5.5679018768996835E-2</v>
      </c>
      <c r="L34" s="2">
        <f ca="1">IFERROR(IF(Inputs!$E$14 = "Semi-annual",(L33/OFFSET(L33,0,-2,,))-1,(L33/OFFSET(L33,0,-4,,))-1),"")</f>
        <v>6.1589779526285859E-2</v>
      </c>
      <c r="M34" s="2">
        <f ca="1">IFERROR(IF(Inputs!$E$14 = "Semi-annual",(M33/OFFSET(M33,0,-2,,))-1,(M33/OFFSET(M33,0,-4,,))-1),"")</f>
        <v>0.14085313985768022</v>
      </c>
      <c r="N34" s="2">
        <f ca="1">IFERROR(IF(Inputs!$E$14 = "Semi-annual",(N33/OFFSET(N33,0,-2,,))-1,(N33/OFFSET(N33,0,-4,,))-1),"")</f>
        <v>0.13527906400086143</v>
      </c>
      <c r="O34" s="2">
        <f ca="1">IFERROR(IF(Inputs!$E$14 = "Semi-annual",(O33/OFFSET(O33,0,-2,,))-1,(O33/OFFSET(O33,0,-4,,))-1),"")</f>
        <v>0.12018556212632503</v>
      </c>
      <c r="P34" s="2">
        <f ca="1">IFERROR(IF(Inputs!$E$14 = "Semi-annual",(P33/OFFSET(P33,0,-2,,))-1,(P33/OFFSET(P33,0,-4,,))-1),"")</f>
        <v>5.7246998920167824E-2</v>
      </c>
      <c r="Q34" s="2">
        <f ca="1">IFERROR(IF(Inputs!$E$14 = "Semi-annual",(Q33/OFFSET(Q33,0,-2,,))-1,(Q33/OFFSET(Q33,0,-4,,))-1),"")</f>
        <v>8.0154442614232435E-2</v>
      </c>
      <c r="R34" s="2">
        <f ca="1">IFERROR(IF(Inputs!$E$14 = "Semi-annual",(R33/OFFSET(R33,0,-2,,))-1,(R33/OFFSET(R33,0,-4,,))-1),"")</f>
        <v>4.5785334804255839E-3</v>
      </c>
      <c r="S34" s="2">
        <f ca="1">IFERROR(IF(Inputs!$E$14 = "Semi-annual",(S33/OFFSET(S33,0,-2,,))-1,(S33/OFFSET(S33,0,-4,,))-1),"")</f>
        <v>2.6603183032396505E-2</v>
      </c>
      <c r="T34" s="2">
        <f ca="1">IFERROR(IF(Inputs!$E$14 = "Semi-annual",(T33/OFFSET(T33,0,-2,,))-1,(T33/OFFSET(T33,0,-4,,))-1),"")</f>
        <v>8.2645402944582225E-2</v>
      </c>
      <c r="U34" s="2">
        <f ca="1">IFERROR(IF(Inputs!$E$14 = "Semi-annual",(U33/OFFSET(U33,0,-2,,))-1,(U33/OFFSET(U33,0,-4,,))-1),"")</f>
        <v>3.9192489765327299E-3</v>
      </c>
      <c r="V34" s="2">
        <f ca="1">IFERROR(IF(Inputs!$E$14 = "Semi-annual",(V33/OFFSET(V33,0,-2,,))-1,(V33/OFFSET(V33,0,-4,,))-1),"")</f>
        <v>-4.5161902215740124E-2</v>
      </c>
      <c r="W34" s="2">
        <f ca="1">IFERROR(IF(Inputs!$E$14 = "Semi-annual",(W33/OFFSET(W33,0,-2,,))-1,(W33/OFFSET(W33,0,-4,,))-1),"")</f>
        <v>-0.52922906595570662</v>
      </c>
      <c r="X34" s="2">
        <f ca="1">IFERROR(IF(Inputs!$E$14 = "Semi-annual",(X33/OFFSET(X33,0,-2,,))-1,(X33/OFFSET(X33,0,-4,,))-1),"")</f>
        <v>-0.61697940077244484</v>
      </c>
      <c r="Y34" s="2">
        <f ca="1">IFERROR(IF(Inputs!$E$14 = "Semi-annual",(Y33/OFFSET(Y33,0,-2,,))-1,(Y33/OFFSET(Y33,0,-4,,))-1),"")</f>
        <v>-0.50602787297131391</v>
      </c>
    </row>
    <row r="35" spans="1:25" x14ac:dyDescent="0.3">
      <c r="A35" s="8" t="s">
        <v>281</v>
      </c>
      <c r="B35" s="10"/>
      <c r="C35" s="10"/>
      <c r="D35" s="10"/>
      <c r="E35" s="10"/>
      <c r="F35" s="10"/>
      <c r="G35" s="10"/>
      <c r="H35" s="10"/>
      <c r="I35" s="10"/>
      <c r="J35" s="10"/>
      <c r="K35" s="10"/>
      <c r="L35" s="10"/>
      <c r="M35" s="10"/>
      <c r="N35" s="10"/>
      <c r="O35" s="10"/>
      <c r="P35" s="10"/>
      <c r="Q35" s="10"/>
      <c r="R35" s="10"/>
      <c r="S35" s="10"/>
      <c r="T35" s="10"/>
      <c r="U35" s="10"/>
      <c r="V35" s="10"/>
      <c r="W35" s="10"/>
      <c r="X35" s="10"/>
      <c r="Y35" s="10"/>
    </row>
    <row r="36" spans="1:25" x14ac:dyDescent="0.3">
      <c r="A36" s="85" t="s">
        <v>280</v>
      </c>
      <c r="B36" s="2">
        <f>IFERROR(B9/B31,"N/A")</f>
        <v>0.18629058707773041</v>
      </c>
      <c r="C36" s="2">
        <f t="shared" ref="C36:J36" si="10">IFERROR(C9/C31,"N/A")</f>
        <v>0.18240205523442515</v>
      </c>
      <c r="D36" s="2">
        <f t="shared" si="10"/>
        <v>0.18640897755610972</v>
      </c>
      <c r="E36" s="2">
        <f t="shared" si="10"/>
        <v>0.19712662880053455</v>
      </c>
      <c r="F36" s="2">
        <f t="shared" si="10"/>
        <v>0.19065537786139855</v>
      </c>
      <c r="G36" s="2">
        <f t="shared" si="10"/>
        <v>0.19207796290474696</v>
      </c>
      <c r="H36" s="2">
        <f t="shared" si="10"/>
        <v>0.18509142053445848</v>
      </c>
      <c r="I36" s="2">
        <f t="shared" si="10"/>
        <v>0.19089264173703255</v>
      </c>
      <c r="J36" s="2">
        <f t="shared" si="10"/>
        <v>0.17566830332787781</v>
      </c>
      <c r="K36" s="2">
        <f>IFERROR(K9/K31,"N/A")</f>
        <v>0.18269495728850921</v>
      </c>
      <c r="L36" s="2">
        <f t="shared" ref="L36:N36" si="11">IFERROR(L9/L31,"N/A")</f>
        <v>0.17203742203742203</v>
      </c>
      <c r="M36" s="2">
        <f t="shared" si="11"/>
        <v>0.19039869812855975</v>
      </c>
      <c r="N36" s="2">
        <f t="shared" si="11"/>
        <v>0.17135862913096694</v>
      </c>
      <c r="O36" s="2">
        <f>IFERROR(O9/O31,"N/A")</f>
        <v>0.17311906501095689</v>
      </c>
      <c r="P36" s="2">
        <f t="shared" ref="P36:Q36" si="12">IFERROR(P9/P31,"N/A")</f>
        <v>0.16240437158469945</v>
      </c>
      <c r="Q36" s="2">
        <f t="shared" si="12"/>
        <v>0.17434529582929192</v>
      </c>
      <c r="R36" s="2">
        <f t="shared" ref="R36:U36" si="13">IFERROR(R9/R31,"N/A")</f>
        <v>0.18469717984281095</v>
      </c>
      <c r="S36" s="2">
        <f t="shared" si="13"/>
        <v>0.18016147635524796</v>
      </c>
      <c r="T36" s="2">
        <f t="shared" si="13"/>
        <v>0.17141614096149665</v>
      </c>
      <c r="U36" s="2">
        <f t="shared" si="13"/>
        <v>0.19322756334359462</v>
      </c>
      <c r="V36" s="2">
        <f t="shared" ref="V36:Y36" si="14">IFERROR(V9/V31,"N/A")</f>
        <v>0.19157641395908545</v>
      </c>
      <c r="W36" s="2">
        <f t="shared" si="14"/>
        <v>0.21298405466970385</v>
      </c>
      <c r="X36" s="2">
        <f t="shared" si="14"/>
        <v>0.18547341115434501</v>
      </c>
      <c r="Y36" s="2">
        <f t="shared" si="14"/>
        <v>0.19457994579945798</v>
      </c>
    </row>
    <row r="37" spans="1:25" x14ac:dyDescent="0.3">
      <c r="A37" s="85" t="s">
        <v>279</v>
      </c>
      <c r="B37" s="2">
        <f>IFERROR(B11/B31,"N/A")</f>
        <v>0.19416202033453592</v>
      </c>
      <c r="C37" s="2">
        <f t="shared" ref="C37:J37" si="15">IFERROR(C11/C31,"N/A")</f>
        <v>0.20809248554913293</v>
      </c>
      <c r="D37" s="2">
        <f t="shared" si="15"/>
        <v>0.21726932668329177</v>
      </c>
      <c r="E37" s="2">
        <f t="shared" si="15"/>
        <v>0.1760775141997995</v>
      </c>
      <c r="F37" s="2">
        <f t="shared" si="15"/>
        <v>0.1398557541549075</v>
      </c>
      <c r="G37" s="2">
        <f t="shared" si="15"/>
        <v>0.16567117258723674</v>
      </c>
      <c r="H37" s="2">
        <f t="shared" si="15"/>
        <v>0.1991561181434599</v>
      </c>
      <c r="I37" s="2">
        <f t="shared" si="15"/>
        <v>0.18033775633293123</v>
      </c>
      <c r="J37" s="2">
        <f t="shared" si="15"/>
        <v>0.17975995635570102</v>
      </c>
      <c r="K37" s="2">
        <f>IFERROR(K11/K31,"N/A")</f>
        <v>0.19316616147699089</v>
      </c>
      <c r="L37" s="2">
        <f t="shared" ref="L37:N37" si="16">IFERROR(L11/L31,"N/A")</f>
        <v>0.24454261954261955</v>
      </c>
      <c r="M37" s="2">
        <f t="shared" si="16"/>
        <v>0.19934906427990234</v>
      </c>
      <c r="N37" s="2">
        <f t="shared" si="16"/>
        <v>0.20195838433292532</v>
      </c>
      <c r="O37" s="2">
        <f>IFERROR(O11/O31,"N/A")</f>
        <v>0.23472120769418067</v>
      </c>
      <c r="P37" s="2">
        <f t="shared" ref="P37:Q37" si="17">IFERROR(P11/P31,"N/A")</f>
        <v>0.29967213114754099</v>
      </c>
      <c r="Q37" s="2">
        <f t="shared" si="17"/>
        <v>0.19616876818622694</v>
      </c>
      <c r="R37" s="2">
        <f t="shared" ref="R37:U37" si="18">IFERROR(R11/R31,"N/A")</f>
        <v>0.20365233472029592</v>
      </c>
      <c r="S37" s="2">
        <f t="shared" si="18"/>
        <v>0.22860438292964241</v>
      </c>
      <c r="T37" s="2">
        <f t="shared" si="18"/>
        <v>0.23776375897324342</v>
      </c>
      <c r="U37" s="2">
        <f t="shared" si="18"/>
        <v>0.21240824058726024</v>
      </c>
      <c r="V37" s="2">
        <f t="shared" ref="V37:Y37" si="19">IFERROR(V11/V31,"N/A")</f>
        <v>0.20120336943441636</v>
      </c>
      <c r="W37" s="2">
        <f t="shared" si="19"/>
        <v>7.0615034168564919E-2</v>
      </c>
      <c r="X37" s="2">
        <f t="shared" si="19"/>
        <v>0.11348897535667962</v>
      </c>
      <c r="Y37" s="2">
        <f t="shared" si="19"/>
        <v>0.1013550135501355</v>
      </c>
    </row>
    <row r="38" spans="1:25" x14ac:dyDescent="0.3">
      <c r="A38" s="85" t="s">
        <v>278</v>
      </c>
      <c r="B38" s="2">
        <f>IFERROR(B13/B31, "N/A")</f>
        <v>6.1659560511643167E-2</v>
      </c>
      <c r="C38" s="2">
        <f t="shared" ref="C38:J38" si="20">IFERROR(C13/C31, "N/A")</f>
        <v>6.1014771997430953E-2</v>
      </c>
      <c r="D38" s="2">
        <f t="shared" si="20"/>
        <v>5.9850374064837911E-2</v>
      </c>
      <c r="E38" s="2">
        <f t="shared" si="20"/>
        <v>6.782492482459071E-2</v>
      </c>
      <c r="F38" s="2">
        <f t="shared" si="20"/>
        <v>6.9300721229225454E-2</v>
      </c>
      <c r="G38" s="2">
        <f t="shared" si="20"/>
        <v>7.5133605784344554E-2</v>
      </c>
      <c r="H38" s="2">
        <f t="shared" si="20"/>
        <v>6.3853727144866382E-2</v>
      </c>
      <c r="I38" s="2">
        <f t="shared" si="20"/>
        <v>5.8202653799758738E-2</v>
      </c>
      <c r="J38" s="2">
        <f t="shared" si="20"/>
        <v>6.2193126022913256E-2</v>
      </c>
      <c r="K38" s="2">
        <f>IFERROR(K13/K31, "N/A")</f>
        <v>6.2276109120969966E-2</v>
      </c>
      <c r="L38" s="2">
        <f t="shared" ref="L38:N38" si="21">IFERROR(L13/L31, "N/A")</f>
        <v>6.2629937629937626E-2</v>
      </c>
      <c r="M38" s="2">
        <f t="shared" si="21"/>
        <v>6.5907241659886082E-2</v>
      </c>
      <c r="N38" s="2">
        <f t="shared" si="21"/>
        <v>6.2668298653610774E-2</v>
      </c>
      <c r="O38" s="2">
        <f>IFERROR(O13/O31, "N/A")</f>
        <v>5.3567080594107627E-2</v>
      </c>
      <c r="P38" s="2">
        <f t="shared" ref="P38:Q38" si="22">IFERROR(P13/P31, "N/A")</f>
        <v>6.054644808743169E-2</v>
      </c>
      <c r="Q38" s="2">
        <f t="shared" si="22"/>
        <v>6.0620756547041695E-2</v>
      </c>
      <c r="R38" s="2">
        <f t="shared" ref="R38:U38" si="23">IFERROR(R13/R31, "N/A")</f>
        <v>5.6634304207119755E-2</v>
      </c>
      <c r="S38" s="2">
        <f t="shared" si="23"/>
        <v>5.8823529411764705E-2</v>
      </c>
      <c r="T38" s="2">
        <f t="shared" si="23"/>
        <v>5.5253426147487496E-2</v>
      </c>
      <c r="U38" s="2">
        <f t="shared" si="23"/>
        <v>5.9199621122424821E-2</v>
      </c>
      <c r="V38" s="2">
        <f t="shared" ref="V38:Y38" si="24">IFERROR(V13/V31, "N/A")</f>
        <v>6.4981949458483762E-2</v>
      </c>
      <c r="W38" s="2">
        <f t="shared" si="24"/>
        <v>0.1030751708428246</v>
      </c>
      <c r="X38" s="2">
        <f t="shared" si="24"/>
        <v>2.9182879377431904E-2</v>
      </c>
      <c r="Y38" s="2">
        <f t="shared" si="24"/>
        <v>0.10027100271002709</v>
      </c>
    </row>
    <row r="39" spans="1:25" x14ac:dyDescent="0.3">
      <c r="A39" s="85" t="s">
        <v>277</v>
      </c>
      <c r="B39" s="2">
        <f>IFERROR(B15/B31, "N/A")</f>
        <v>0.14037389307969828</v>
      </c>
      <c r="C39" s="2">
        <f t="shared" ref="C39:J39" si="25">IFERROR(C15/C31, "N/A")</f>
        <v>0.1724470134874759</v>
      </c>
      <c r="D39" s="2">
        <f t="shared" si="25"/>
        <v>0.17830423940149626</v>
      </c>
      <c r="E39" s="2">
        <f t="shared" si="25"/>
        <v>-2.0046775810223854E-3</v>
      </c>
      <c r="F39" s="2">
        <f t="shared" si="25"/>
        <v>0.17591721542803385</v>
      </c>
      <c r="G39" s="2">
        <f t="shared" si="25"/>
        <v>0.12008802263439172</v>
      </c>
      <c r="H39" s="2">
        <f t="shared" si="25"/>
        <v>0.11898734177215189</v>
      </c>
      <c r="I39" s="2">
        <f t="shared" si="25"/>
        <v>9.9819059107358249E-2</v>
      </c>
      <c r="J39" s="2">
        <f t="shared" si="25"/>
        <v>0.15030005455537371</v>
      </c>
      <c r="K39" s="2">
        <f>IFERROR(K15/K31, "N/A")</f>
        <v>0.11848994213281895</v>
      </c>
      <c r="L39" s="2">
        <f t="shared" ref="L39:N39" si="26">IFERROR(L15/L31, "N/A")</f>
        <v>0.11668399168399168</v>
      </c>
      <c r="M39" s="2">
        <f t="shared" si="26"/>
        <v>0.10740439381611064</v>
      </c>
      <c r="N39" s="2">
        <f t="shared" si="26"/>
        <v>0.14516523867809059</v>
      </c>
      <c r="O39" s="2">
        <f>IFERROR(O15/O31, "N/A")</f>
        <v>0.11176040905770634</v>
      </c>
      <c r="P39" s="2">
        <f t="shared" ref="P39:Q39" si="27">IFERROR(P15/P31, "N/A")</f>
        <v>0.10754098360655737</v>
      </c>
      <c r="Q39" s="2">
        <f t="shared" si="27"/>
        <v>0.11032977691561588</v>
      </c>
      <c r="R39" s="2">
        <f t="shared" ref="R39:U39" si="28">IFERROR(R15/R31, "N/A")</f>
        <v>0.14447526583448916</v>
      </c>
      <c r="S39" s="2">
        <f t="shared" si="28"/>
        <v>0.10980392156862745</v>
      </c>
      <c r="T39" s="2">
        <f t="shared" si="28"/>
        <v>0.1076789210354579</v>
      </c>
      <c r="U39" s="2">
        <f t="shared" si="28"/>
        <v>0.11034809377219987</v>
      </c>
      <c r="V39" s="2">
        <f t="shared" ref="V39:Y39" si="29">IFERROR(V15/V31, "N/A")</f>
        <v>0.13453670276774971</v>
      </c>
      <c r="W39" s="2">
        <f t="shared" si="29"/>
        <v>0.12756264236902048</v>
      </c>
      <c r="X39" s="2">
        <f t="shared" si="29"/>
        <v>8.3009079118028531E-2</v>
      </c>
      <c r="Y39" s="2">
        <f t="shared" si="29"/>
        <v>2.9810298102981025E-2</v>
      </c>
    </row>
    <row r="40" spans="1:25" x14ac:dyDescent="0.3">
      <c r="A40" s="85" t="s">
        <v>276</v>
      </c>
      <c r="B40" s="2">
        <f>IFERROR(B17/B31, "N/A")</f>
        <v>5.0508363397835356E-2</v>
      </c>
      <c r="C40" s="2">
        <f t="shared" ref="C40:J40" si="30">IFERROR(C17/C31, "N/A")</f>
        <v>4.8811817597944764E-2</v>
      </c>
      <c r="D40" s="2">
        <f t="shared" si="30"/>
        <v>4.8940149625935167E-2</v>
      </c>
      <c r="E40" s="2">
        <f t="shared" si="30"/>
        <v>4.8446374874707647E-2</v>
      </c>
      <c r="F40" s="2">
        <f t="shared" si="30"/>
        <v>5.7071182188773904E-2</v>
      </c>
      <c r="G40" s="2">
        <f t="shared" si="30"/>
        <v>5.3442313737818305E-2</v>
      </c>
      <c r="H40" s="2">
        <f t="shared" si="30"/>
        <v>5.0351617440225031E-2</v>
      </c>
      <c r="I40" s="2">
        <f t="shared" si="30"/>
        <v>5.1869722557297944E-2</v>
      </c>
      <c r="J40" s="2">
        <f t="shared" si="30"/>
        <v>5.5919258046917615E-2</v>
      </c>
      <c r="K40" s="2">
        <f>IFERROR(K17/K31, "N/A")</f>
        <v>5.4836042987048771E-2</v>
      </c>
      <c r="L40" s="2">
        <f t="shared" ref="L40:N40" si="31">IFERROR(L17/L31, "N/A")</f>
        <v>5.3014553014553017E-2</v>
      </c>
      <c r="M40" s="2">
        <f t="shared" si="31"/>
        <v>4.5836723623542165E-2</v>
      </c>
      <c r="N40" s="2">
        <f t="shared" si="31"/>
        <v>4.6266829865361077E-2</v>
      </c>
      <c r="O40" s="2">
        <f>IFERROR(O17/O31, "N/A")</f>
        <v>4.8453859264670072E-2</v>
      </c>
      <c r="P40" s="2">
        <f t="shared" ref="P40:Q40" si="32">IFERROR(P17/P31, "N/A")</f>
        <v>5.1803278688524593E-2</v>
      </c>
      <c r="Q40" s="2">
        <f t="shared" si="32"/>
        <v>4.4131910766246354E-2</v>
      </c>
      <c r="R40" s="2">
        <f t="shared" ref="R40:U40" si="33">IFERROR(R17/R31, "N/A")</f>
        <v>4.923717059639391E-2</v>
      </c>
      <c r="S40" s="2">
        <f t="shared" si="33"/>
        <v>5.0519031141868509E-2</v>
      </c>
      <c r="T40" s="2">
        <f t="shared" si="33"/>
        <v>5.3948227104633456E-2</v>
      </c>
      <c r="U40" s="2">
        <f t="shared" si="33"/>
        <v>4.5938905991001658E-2</v>
      </c>
      <c r="V40" s="2">
        <f t="shared" ref="V40:Y40" si="34">IFERROR(V17/V31, "N/A")</f>
        <v>4.4043321299638991E-2</v>
      </c>
      <c r="W40" s="2">
        <f t="shared" si="34"/>
        <v>7.4031890660592242E-3</v>
      </c>
      <c r="X40" s="2">
        <f t="shared" si="34"/>
        <v>1.9455252918287938E-2</v>
      </c>
      <c r="Y40" s="2">
        <f t="shared" si="34"/>
        <v>1.4092140921409216E-2</v>
      </c>
    </row>
    <row r="41" spans="1:25" x14ac:dyDescent="0.3">
      <c r="A41" s="85" t="s">
        <v>275</v>
      </c>
      <c r="B41" s="2">
        <f>IFERROR(B19/B31, "N/A")</f>
        <v>0.28993112495900297</v>
      </c>
      <c r="C41" s="2">
        <f t="shared" ref="C41:J41" si="35">IFERROR(C19/C31, "N/A")</f>
        <v>0.24341682723185609</v>
      </c>
      <c r="D41" s="2">
        <f t="shared" si="35"/>
        <v>0.23004987531172072</v>
      </c>
      <c r="E41" s="2">
        <f t="shared" si="35"/>
        <v>0.42632809889742729</v>
      </c>
      <c r="F41" s="2">
        <f t="shared" si="35"/>
        <v>0.27500783944810281</v>
      </c>
      <c r="G41" s="2">
        <f t="shared" si="35"/>
        <v>0.29487582521219746</v>
      </c>
      <c r="H41" s="2">
        <f t="shared" si="35"/>
        <v>0.28748241912798872</v>
      </c>
      <c r="I41" s="2">
        <f t="shared" si="35"/>
        <v>0.31875753920386007</v>
      </c>
      <c r="J41" s="2">
        <f t="shared" si="35"/>
        <v>0.28068739770867429</v>
      </c>
      <c r="K41" s="2">
        <f>IFERROR(K19/K31, "N/A")</f>
        <v>0.28602920914852575</v>
      </c>
      <c r="L41" s="2">
        <f t="shared" ref="L41:N41" si="36">IFERROR(L19/L31, "N/A")</f>
        <v>0.25597713097713098</v>
      </c>
      <c r="M41" s="2">
        <f t="shared" si="36"/>
        <v>0.29048006509357194</v>
      </c>
      <c r="N41" s="2">
        <f t="shared" si="36"/>
        <v>0.27662178702570378</v>
      </c>
      <c r="O41" s="2">
        <f>IFERROR(O19/O31, "N/A")</f>
        <v>0.28074019965911856</v>
      </c>
      <c r="P41" s="2">
        <f t="shared" ref="P41:Q41" si="37">IFERROR(P19/P31, "N/A")</f>
        <v>0.22950819672131145</v>
      </c>
      <c r="Q41" s="2">
        <f t="shared" si="37"/>
        <v>0.31741028128031035</v>
      </c>
      <c r="R41" s="2">
        <f t="shared" ref="R41:U41" si="38">IFERROR(R19/R31, "N/A")</f>
        <v>0.25589459084604721</v>
      </c>
      <c r="S41" s="2">
        <f t="shared" si="38"/>
        <v>0.25813148788927331</v>
      </c>
      <c r="T41" s="2">
        <f t="shared" si="38"/>
        <v>0.2616924080922341</v>
      </c>
      <c r="U41" s="2">
        <f t="shared" si="38"/>
        <v>0.25574236324887523</v>
      </c>
      <c r="V41" s="2">
        <f t="shared" ref="V41:Y41" si="39">IFERROR(V19/V31, "N/A")</f>
        <v>0.24235860409145607</v>
      </c>
      <c r="W41" s="2">
        <f t="shared" si="39"/>
        <v>0.20102505694760819</v>
      </c>
      <c r="X41" s="2">
        <f t="shared" si="39"/>
        <v>0.29701686121919579</v>
      </c>
      <c r="Y41" s="2">
        <f t="shared" si="39"/>
        <v>0.32249322493224936</v>
      </c>
    </row>
    <row r="42" spans="1:25" x14ac:dyDescent="0.3">
      <c r="A42" s="85" t="s">
        <v>274</v>
      </c>
      <c r="B42" s="2">
        <f>IFERROR(B21/B31, "N/A")</f>
        <v>0</v>
      </c>
      <c r="C42" s="2">
        <f t="shared" ref="C42:J42" si="40">IFERROR(C21/C31, "N/A")</f>
        <v>0</v>
      </c>
      <c r="D42" s="2">
        <f t="shared" si="40"/>
        <v>0</v>
      </c>
      <c r="E42" s="2">
        <f t="shared" si="40"/>
        <v>0</v>
      </c>
      <c r="F42" s="2">
        <f t="shared" si="40"/>
        <v>0</v>
      </c>
      <c r="G42" s="2">
        <f t="shared" si="40"/>
        <v>0</v>
      </c>
      <c r="H42" s="2">
        <f t="shared" si="40"/>
        <v>0</v>
      </c>
      <c r="I42" s="2">
        <f t="shared" si="40"/>
        <v>0</v>
      </c>
      <c r="J42" s="2">
        <f t="shared" si="40"/>
        <v>0</v>
      </c>
      <c r="K42" s="2">
        <f>IFERROR(K21/K31, "N/A")</f>
        <v>0</v>
      </c>
      <c r="L42" s="2">
        <f t="shared" ref="L42:N42" si="41">IFERROR(L21/L31, "N/A")</f>
        <v>0</v>
      </c>
      <c r="M42" s="2">
        <f t="shared" si="41"/>
        <v>0</v>
      </c>
      <c r="N42" s="2">
        <f t="shared" si="41"/>
        <v>0</v>
      </c>
      <c r="O42" s="2">
        <f>IFERROR(O21/O31, "N/A")</f>
        <v>0</v>
      </c>
      <c r="P42" s="2">
        <f t="shared" ref="P42:Q42" si="42">IFERROR(P21/P31, "N/A")</f>
        <v>0</v>
      </c>
      <c r="Q42" s="2">
        <f t="shared" si="42"/>
        <v>0</v>
      </c>
      <c r="R42" s="2">
        <f t="shared" ref="R42:U42" si="43">IFERROR(R21/R31, "N/A")</f>
        <v>0</v>
      </c>
      <c r="S42" s="2">
        <f t="shared" si="43"/>
        <v>0</v>
      </c>
      <c r="T42" s="2">
        <f t="shared" si="43"/>
        <v>0</v>
      </c>
      <c r="U42" s="2">
        <f t="shared" si="43"/>
        <v>0</v>
      </c>
      <c r="V42" s="2">
        <f t="shared" ref="V42:Y42" si="44">IFERROR(V21/V31, "N/A")</f>
        <v>0</v>
      </c>
      <c r="W42" s="2">
        <f t="shared" si="44"/>
        <v>0</v>
      </c>
      <c r="X42" s="2">
        <f t="shared" si="44"/>
        <v>0</v>
      </c>
      <c r="Y42" s="2">
        <f t="shared" si="44"/>
        <v>0</v>
      </c>
    </row>
    <row r="43" spans="1:25" x14ac:dyDescent="0.3">
      <c r="A43" s="85" t="s">
        <v>273</v>
      </c>
      <c r="B43" s="61">
        <f>IFERROR(B23/B31, "N/A")</f>
        <v>0.18104296490652674</v>
      </c>
      <c r="C43" s="61">
        <f t="shared" ref="C43:J43" si="45">IFERROR(C23/C31, "N/A")</f>
        <v>0.19075144508670519</v>
      </c>
      <c r="D43" s="61">
        <f t="shared" si="45"/>
        <v>0.18204488778054864</v>
      </c>
      <c r="E43" s="61">
        <f t="shared" si="45"/>
        <v>0.18342799866354825</v>
      </c>
      <c r="F43" s="61">
        <f t="shared" si="45"/>
        <v>0.17842583882094698</v>
      </c>
      <c r="G43" s="61">
        <f t="shared" si="45"/>
        <v>0.18170386670858224</v>
      </c>
      <c r="H43" s="61">
        <f t="shared" si="45"/>
        <v>0.17974683544303796</v>
      </c>
      <c r="I43" s="61">
        <f t="shared" si="45"/>
        <v>0.18757539203860071</v>
      </c>
      <c r="J43" s="61">
        <f t="shared" si="45"/>
        <v>0.17239498090561919</v>
      </c>
      <c r="K43" s="61">
        <f>IFERROR(K23/K31, "N/A")</f>
        <v>0.17856158721410856</v>
      </c>
      <c r="L43" s="61">
        <f t="shared" ref="L43:N43" si="46">IFERROR(L23/L31, "N/A")</f>
        <v>0.14371101871101871</v>
      </c>
      <c r="M43" s="61">
        <f t="shared" si="46"/>
        <v>0.17548142120965551</v>
      </c>
      <c r="N43" s="61">
        <f t="shared" si="46"/>
        <v>0.16523867809057527</v>
      </c>
      <c r="O43" s="61">
        <f>IFERROR(O23/O31, "N/A")</f>
        <v>0.18066715364012662</v>
      </c>
      <c r="P43" s="61">
        <f t="shared" ref="P43:Q43" si="47">IFERROR(P23/P31, "N/A")</f>
        <v>0.12415300546448087</v>
      </c>
      <c r="Q43" s="61">
        <f t="shared" si="47"/>
        <v>0.20780795344325892</v>
      </c>
      <c r="R43" s="61">
        <f t="shared" ref="R43:U43" si="48">IFERROR(R23/R31, "N/A")</f>
        <v>0.1373092926490985</v>
      </c>
      <c r="S43" s="61">
        <f t="shared" si="48"/>
        <v>0.13933102652825835</v>
      </c>
      <c r="T43" s="61">
        <f t="shared" si="48"/>
        <v>0.13748096584729172</v>
      </c>
      <c r="U43" s="61">
        <f t="shared" si="48"/>
        <v>0.14468387402320626</v>
      </c>
      <c r="V43" s="61">
        <f t="shared" ref="V43:Y43" si="49">IFERROR(V23/V31, "N/A")</f>
        <v>0.11335740072202166</v>
      </c>
      <c r="W43" s="61">
        <f t="shared" si="49"/>
        <v>9.7949886104783598E-2</v>
      </c>
      <c r="X43" s="61">
        <f t="shared" si="49"/>
        <v>0.1284046692607004</v>
      </c>
      <c r="Y43" s="61">
        <f t="shared" si="49"/>
        <v>0.13279132791327913</v>
      </c>
    </row>
    <row r="44" spans="1:25" x14ac:dyDescent="0.3">
      <c r="A44" s="85" t="s">
        <v>272</v>
      </c>
      <c r="B44" s="2">
        <f>IFERROR(B25/B31, "N/A")</f>
        <v>0.10888816005247623</v>
      </c>
      <c r="C44" s="2">
        <f t="shared" ref="C44:J44" si="50">IFERROR(C25/C31, "N/A")</f>
        <v>5.2665382145150923E-2</v>
      </c>
      <c r="D44" s="2">
        <f t="shared" si="50"/>
        <v>4.8004987531172071E-2</v>
      </c>
      <c r="E44" s="2">
        <f t="shared" si="50"/>
        <v>0.24290010023387903</v>
      </c>
      <c r="F44" s="2">
        <f t="shared" si="50"/>
        <v>9.6582000627155842E-2</v>
      </c>
      <c r="G44" s="2">
        <f t="shared" si="50"/>
        <v>0.11317195850361522</v>
      </c>
      <c r="H44" s="2">
        <f t="shared" si="50"/>
        <v>0.10773558368495077</v>
      </c>
      <c r="I44" s="2">
        <f t="shared" si="50"/>
        <v>0.13118214716525933</v>
      </c>
      <c r="J44" s="2">
        <f t="shared" si="50"/>
        <v>0.1082924168030551</v>
      </c>
      <c r="K44" s="2">
        <f>IFERROR(K25/K31, "N/A")</f>
        <v>0.1074676219344172</v>
      </c>
      <c r="L44" s="2">
        <f t="shared" ref="L44:N44" si="51">IFERROR(L25/L31, "N/A")</f>
        <v>0.11226611226611227</v>
      </c>
      <c r="M44" s="2">
        <f t="shared" si="51"/>
        <v>0.11499864388391644</v>
      </c>
      <c r="N44" s="2">
        <f t="shared" si="51"/>
        <v>0.11138310893512852</v>
      </c>
      <c r="O44" s="2">
        <f>IFERROR(O25/O31, "N/A")</f>
        <v>0.10007304601899196</v>
      </c>
      <c r="P44" s="2">
        <f t="shared" ref="P44:Q44" si="52">IFERROR(P25/P31, "N/A")</f>
        <v>0.10535519125683059</v>
      </c>
      <c r="Q44" s="2">
        <f t="shared" si="52"/>
        <v>0.10960232783705139</v>
      </c>
      <c r="R44" s="2">
        <f t="shared" ref="R44:U44" si="53">IFERROR(R25/R31, "N/A")</f>
        <v>0.1185852981969487</v>
      </c>
      <c r="S44" s="2">
        <f t="shared" si="53"/>
        <v>0.11880046136101498</v>
      </c>
      <c r="T44" s="2">
        <f t="shared" si="53"/>
        <v>0.12421144224494236</v>
      </c>
      <c r="U44" s="2">
        <f t="shared" si="53"/>
        <v>0.11105848922566895</v>
      </c>
      <c r="V44" s="2">
        <f t="shared" ref="V44:Y44" si="54">IFERROR(V25/V31, "N/A")</f>
        <v>0.12900120336943441</v>
      </c>
      <c r="W44" s="2">
        <f t="shared" si="54"/>
        <v>0.1030751708428246</v>
      </c>
      <c r="X44" s="2">
        <f t="shared" si="54"/>
        <v>0.16861219195849544</v>
      </c>
      <c r="Y44" s="2">
        <f t="shared" si="54"/>
        <v>0.18970189701897019</v>
      </c>
    </row>
    <row r="45" spans="1:25" x14ac:dyDescent="0.3">
      <c r="A45" s="85" t="s">
        <v>271</v>
      </c>
      <c r="B45" s="2">
        <f>IFERROR(B27/B31, "N/A")</f>
        <v>2.6894063627418828E-2</v>
      </c>
      <c r="C45" s="2">
        <f t="shared" ref="C45:J45" si="55">IFERROR(C27/C31, "N/A")</f>
        <v>2.6974951830443159E-2</v>
      </c>
      <c r="D45" s="2">
        <f t="shared" si="55"/>
        <v>2.7743142144638404E-2</v>
      </c>
      <c r="E45" s="2">
        <f t="shared" si="55"/>
        <v>3.274306715669896E-2</v>
      </c>
      <c r="F45" s="2">
        <f t="shared" si="55"/>
        <v>3.512072750078394E-2</v>
      </c>
      <c r="G45" s="2">
        <f t="shared" si="55"/>
        <v>3.5209053756680292E-2</v>
      </c>
      <c r="H45" s="2">
        <f t="shared" si="55"/>
        <v>3.3192686357243317E-2</v>
      </c>
      <c r="I45" s="2">
        <f t="shared" si="55"/>
        <v>3.6188178528347402E-2</v>
      </c>
      <c r="J45" s="2">
        <f t="shared" si="55"/>
        <v>3.3278777959629025E-2</v>
      </c>
      <c r="K45" s="2">
        <f>IFERROR(K27/K31, "N/A")</f>
        <v>3.582254064480573E-2</v>
      </c>
      <c r="L45" s="2">
        <f t="shared" ref="L45:N45" si="56">IFERROR(L27/L31, "N/A")</f>
        <v>3.2484407484407486E-2</v>
      </c>
      <c r="M45" s="2">
        <f t="shared" si="56"/>
        <v>3.4174125305126112E-2</v>
      </c>
      <c r="N45" s="2">
        <f t="shared" si="56"/>
        <v>3.0599755201958383E-2</v>
      </c>
      <c r="O45" s="2">
        <f>IFERROR(O27/O31, "N/A")</f>
        <v>2.9948867786705621E-2</v>
      </c>
      <c r="P45" s="2">
        <f t="shared" ref="P45:Q45" si="57">IFERROR(P27/P31, "N/A")</f>
        <v>2.9945355191256826E-2</v>
      </c>
      <c r="Q45" s="2">
        <f t="shared" si="57"/>
        <v>3.225024248302618E-2</v>
      </c>
      <c r="R45" s="2">
        <f t="shared" ref="R45:U45" si="58">IFERROR(R27/R31, "N/A")</f>
        <v>0</v>
      </c>
      <c r="S45" s="2">
        <f t="shared" si="58"/>
        <v>0</v>
      </c>
      <c r="T45" s="2">
        <f t="shared" si="58"/>
        <v>0</v>
      </c>
      <c r="U45" s="2">
        <f t="shared" si="58"/>
        <v>0</v>
      </c>
      <c r="V45" s="2">
        <f t="shared" ref="V45:Y45" si="59">IFERROR(V27/V31, "N/A")</f>
        <v>0</v>
      </c>
      <c r="W45" s="2">
        <f t="shared" si="59"/>
        <v>0</v>
      </c>
      <c r="X45" s="2">
        <f t="shared" si="59"/>
        <v>0</v>
      </c>
      <c r="Y45" s="2">
        <f t="shared" si="59"/>
        <v>0</v>
      </c>
    </row>
    <row r="46" spans="1:25" x14ac:dyDescent="0.3">
      <c r="A46" s="85" t="s">
        <v>270</v>
      </c>
      <c r="B46" s="2">
        <f>IFERROR(B29/B31,"N/A")</f>
        <v>5.0180387012135126E-2</v>
      </c>
      <c r="C46" s="2">
        <f t="shared" ref="C46:J46" si="60">IFERROR(C29/C31,"N/A")</f>
        <v>5.6840077071290941E-2</v>
      </c>
      <c r="D46" s="2">
        <f t="shared" si="60"/>
        <v>5.1433915211970077E-2</v>
      </c>
      <c r="E46" s="2">
        <f t="shared" si="60"/>
        <v>5.3458068827263609E-2</v>
      </c>
      <c r="F46" s="2">
        <f t="shared" si="60"/>
        <v>5.7071182188773904E-2</v>
      </c>
      <c r="G46" s="2">
        <f t="shared" si="60"/>
        <v>6.3502043382584097E-2</v>
      </c>
      <c r="H46" s="2">
        <f t="shared" si="60"/>
        <v>6.1884669479606184E-2</v>
      </c>
      <c r="I46" s="2">
        <f t="shared" si="60"/>
        <v>6.3932448733413735E-2</v>
      </c>
      <c r="J46" s="2">
        <f t="shared" si="60"/>
        <v>6.2193126022913256E-2</v>
      </c>
      <c r="K46" s="2">
        <f>IFERROR(K29/K31,"N/A")</f>
        <v>6.6685037200330671E-2</v>
      </c>
      <c r="L46" s="2">
        <f t="shared" ref="L46:N46" si="61">IFERROR(L29/L31,"N/A")</f>
        <v>6.2629937629937626E-2</v>
      </c>
      <c r="M46" s="2">
        <f t="shared" si="61"/>
        <v>6.6449688093300777E-2</v>
      </c>
      <c r="N46" s="2">
        <f t="shared" si="61"/>
        <v>6.5361077111383101E-2</v>
      </c>
      <c r="O46" s="2">
        <f>IFERROR(O29/O31,"N/A")</f>
        <v>6.7689310932554175E-2</v>
      </c>
      <c r="P46" s="2">
        <f t="shared" ref="P46:Q46" si="62">IFERROR(P29/P31,"N/A")</f>
        <v>5.8579234972677585E-2</v>
      </c>
      <c r="Q46" s="2">
        <f t="shared" si="62"/>
        <v>6.4742967992240538E-2</v>
      </c>
      <c r="R46" s="2">
        <f t="shared" ref="R46:U46" si="63">IFERROR(R29/R31,"N/A")</f>
        <v>0.1054091539528433</v>
      </c>
      <c r="S46" s="2">
        <f t="shared" si="63"/>
        <v>0.11395617070357553</v>
      </c>
      <c r="T46" s="2">
        <f t="shared" si="63"/>
        <v>0.11224711768544703</v>
      </c>
      <c r="U46" s="2">
        <f t="shared" si="63"/>
        <v>0.12313521193464362</v>
      </c>
      <c r="V46" s="2">
        <f t="shared" ref="V46:Y46" si="64">IFERROR(V29/V31,"N/A")</f>
        <v>0.12129963898916968</v>
      </c>
      <c r="W46" s="2">
        <f t="shared" si="64"/>
        <v>0.27733485193621865</v>
      </c>
      <c r="X46" s="2">
        <f t="shared" si="64"/>
        <v>0.2723735408560311</v>
      </c>
      <c r="Y46" s="2">
        <f t="shared" si="64"/>
        <v>0.23739837398373984</v>
      </c>
    </row>
    <row r="47" spans="1:25" x14ac:dyDescent="0.3">
      <c r="A47" s="14" t="s">
        <v>269</v>
      </c>
      <c r="B47" s="78">
        <f>IFERROR(SUM(B36:B46)-B41, "N/A")</f>
        <v>1</v>
      </c>
      <c r="C47" s="78">
        <f t="shared" ref="C47:J47" si="65">IFERROR(SUM(C36:C46)-C41, "N/A")</f>
        <v>0.99999999999999967</v>
      </c>
      <c r="D47" s="78">
        <f t="shared" si="65"/>
        <v>0.99999999999999989</v>
      </c>
      <c r="E47" s="78">
        <f t="shared" si="65"/>
        <v>1</v>
      </c>
      <c r="F47" s="78">
        <f t="shared" si="65"/>
        <v>1</v>
      </c>
      <c r="G47" s="78">
        <f t="shared" si="65"/>
        <v>1.0000000000000002</v>
      </c>
      <c r="H47" s="78">
        <f t="shared" si="65"/>
        <v>1</v>
      </c>
      <c r="I47" s="78">
        <f t="shared" si="65"/>
        <v>0.99999999999999967</v>
      </c>
      <c r="J47" s="78">
        <f t="shared" si="65"/>
        <v>0.99999999999999978</v>
      </c>
      <c r="K47" s="78">
        <f>IFERROR(SUM(K36:K46)-K41, "N/A")</f>
        <v>1.0000000000000004</v>
      </c>
      <c r="L47" s="78">
        <f t="shared" ref="L47:N47" si="66">IFERROR(SUM(L36:L46)-L41, "N/A")</f>
        <v>1</v>
      </c>
      <c r="M47" s="78">
        <f t="shared" si="66"/>
        <v>0.99999999999999978</v>
      </c>
      <c r="N47" s="78">
        <f t="shared" si="66"/>
        <v>1</v>
      </c>
      <c r="O47" s="78">
        <f>IFERROR(SUM(O36:O46)-O41, "N/A")</f>
        <v>1.0000000000000002</v>
      </c>
      <c r="P47" s="78">
        <f t="shared" ref="P47:Q47" si="67">IFERROR(SUM(P36:P46)-P41, "N/A")</f>
        <v>0.99999999999999978</v>
      </c>
      <c r="Q47" s="78">
        <f t="shared" si="67"/>
        <v>0.99999999999999978</v>
      </c>
      <c r="R47" s="78">
        <f t="shared" ref="R47:U47" si="68">IFERROR(SUM(R36:R46)-R41, "N/A")</f>
        <v>0.99999999999999978</v>
      </c>
      <c r="S47" s="78">
        <f t="shared" si="68"/>
        <v>1</v>
      </c>
      <c r="T47" s="78">
        <f t="shared" si="68"/>
        <v>1</v>
      </c>
      <c r="U47" s="78">
        <f t="shared" si="68"/>
        <v>1</v>
      </c>
      <c r="V47" s="78">
        <f t="shared" ref="V47:Y47" si="69">IFERROR(SUM(V36:V46)-V41, "N/A")</f>
        <v>1</v>
      </c>
      <c r="W47" s="78">
        <f t="shared" si="69"/>
        <v>0.99999999999999978</v>
      </c>
      <c r="X47" s="78">
        <f t="shared" si="69"/>
        <v>0.99999999999999989</v>
      </c>
      <c r="Y47" s="78">
        <f t="shared" si="69"/>
        <v>0.99999999999999978</v>
      </c>
    </row>
    <row r="48" spans="1:25" x14ac:dyDescent="0.3">
      <c r="A48" s="8" t="str">
        <f>("Total Operating Costs " &amp; 'Revenue Analysis Reported'!$A$41)</f>
        <v>Total Operating Costs Per ASM:</v>
      </c>
      <c r="B48" s="10"/>
      <c r="C48" s="10"/>
      <c r="D48" s="10"/>
      <c r="E48" s="10"/>
      <c r="F48" s="10"/>
      <c r="G48" s="10"/>
      <c r="H48" s="10"/>
      <c r="I48" s="10"/>
      <c r="J48" s="10"/>
      <c r="K48" s="10"/>
      <c r="L48" s="10"/>
      <c r="M48" s="10"/>
      <c r="N48" s="10"/>
      <c r="O48" s="10"/>
      <c r="P48" s="10"/>
      <c r="Q48" s="10"/>
      <c r="R48" s="10"/>
      <c r="S48" s="10"/>
      <c r="T48" s="10"/>
      <c r="U48" s="10"/>
      <c r="V48" s="10"/>
      <c r="W48" s="10"/>
      <c r="X48" s="10"/>
      <c r="Y48" s="10"/>
    </row>
    <row r="49" spans="1:25" x14ac:dyDescent="0.3">
      <c r="A49" s="85" t="str">
        <f>("Employee Costs per " &amp; 'Annual Operational Data'!$A$33  &amp; " [cents]")</f>
        <v>Employee Costs per ASMs [cents]</v>
      </c>
      <c r="B49" s="4">
        <f>IFERROR(B9*100/'Interim Operational Data'!B33, "N/A")</f>
        <v>2.5016757979631739</v>
      </c>
      <c r="C49" s="4">
        <f>IFERROR(C9*100/'Interim Operational Data'!C33, "N/A")</f>
        <v>2.2944195591214327</v>
      </c>
      <c r="D49" s="4">
        <f>IFERROR(D9*100/'Interim Operational Data'!D33, "N/A")</f>
        <v>1.944707545001374</v>
      </c>
      <c r="E49" s="4">
        <f>IFERROR(E9*100/'Interim Operational Data'!E33, "N/A")</f>
        <v>2.3429608044292083</v>
      </c>
      <c r="F49" s="4">
        <f>IFERROR(F9*100/'Interim Operational Data'!F33, "N/A")</f>
        <v>2.2309696757453961</v>
      </c>
      <c r="G49" s="4">
        <f>IFERROR(G9*100/'Interim Operational Data'!G33, "N/A")</f>
        <v>2.121538686022522</v>
      </c>
      <c r="H49" s="4">
        <f>IFERROR(H9*100/'Interim Operational Data'!H33, "N/A")</f>
        <v>1.7737285700250462</v>
      </c>
      <c r="I49" s="4">
        <f>IFERROR(I9*100/'Interim Operational Data'!I33, "N/A")</f>
        <v>2.1471864420474462</v>
      </c>
      <c r="J49" s="4">
        <f>IFERROR(J9*100/'Interim Operational Data'!J33, "N/A")</f>
        <v>2.1250446434262336</v>
      </c>
      <c r="K49" s="4">
        <f>IFERROR(K9*100/'Interim Operational Data'!K33, "N/A")</f>
        <v>1.9411006813790388</v>
      </c>
      <c r="L49" s="4">
        <f>IFERROR(L9*100/'Interim Operational Data'!L33, "N/A")</f>
        <v>1.7004395276569426</v>
      </c>
      <c r="M49" s="4">
        <f>IFERROR(M9*100/'Interim Operational Data'!M33, "N/A")</f>
        <v>2.2841654270134715</v>
      </c>
      <c r="N49" s="4">
        <f>IFERROR(N9*100/'Interim Operational Data'!N33, "N/A")</f>
        <v>2.2273286544511803</v>
      </c>
      <c r="O49" s="4">
        <f>IFERROR(O9*100/'Interim Operational Data'!O33, "N/A")</f>
        <v>2.019991096775708</v>
      </c>
      <c r="P49" s="4">
        <f>IFERROR(P9*100/'Interim Operational Data'!P33, "N/A")</f>
        <v>1.7154158490338463</v>
      </c>
      <c r="Q49" s="4">
        <f>IFERROR(Q9*100/'Interim Operational Data'!Q33, "N/A")</f>
        <v>2.1265999307467855</v>
      </c>
      <c r="R49" s="4">
        <f>IFERROR(R9*100/'Interim Operational Data'!R33, "N/A")</f>
        <v>2.3096216889826051</v>
      </c>
      <c r="S49" s="4">
        <f>IFERROR(S9*100/'Interim Operational Data'!S33, "N/A")</f>
        <v>2.0918039684789291</v>
      </c>
      <c r="T49" s="4">
        <f>IFERROR(T9*100/'Interim Operational Data'!T33, "N/A")</f>
        <v>1.8387652192447235</v>
      </c>
      <c r="U49" s="4">
        <f>IFERROR(U9*100/'Interim Operational Data'!U33, "N/A")</f>
        <v>2.3388349394294683</v>
      </c>
      <c r="V49" s="4">
        <f>IFERROR(V9*100/'Interim Operational Data'!V33, "N/A")</f>
        <v>2.5234126322985131</v>
      </c>
      <c r="W49" s="4">
        <f>IFERROR(W9*100/'Interim Operational Data'!W33, "N/A")</f>
        <v>12.023415881475294</v>
      </c>
      <c r="X49" s="4">
        <f>IFERROR(X9*100/'Interim Operational Data'!X33, "N/A")</f>
        <v>3.5747709242107124</v>
      </c>
      <c r="Y49" s="4">
        <f>IFERROR(Y9*100/'Interim Operational Data'!Y33, "N/A")</f>
        <v>4.4916547806721212</v>
      </c>
    </row>
    <row r="50" spans="1:25" x14ac:dyDescent="0.3">
      <c r="A50" s="85" t="s">
        <v>0</v>
      </c>
      <c r="B50" s="2"/>
      <c r="C50" s="2" t="str">
        <f ca="1">IFERROR(IF(Inputs!$E$14 = "Semi-annual",(C49/OFFSET(C49,0,-2,,))-1,(C49/OFFSET(C49,0,-4,,))-1),"")</f>
        <v/>
      </c>
      <c r="D50" s="2" t="str">
        <f ca="1">IFERROR(IF(Inputs!$E$14 = "Semi-annual",(D49/OFFSET(D49,0,-2,,))-1,(D49/OFFSET(D49,0,-4,,))-1),"")</f>
        <v/>
      </c>
      <c r="E50" s="2" t="str">
        <f ca="1">IFERROR(IF(Inputs!$E$14 = "Semi-annual",(E49/OFFSET(E49,0,-2,,))-1,(E49/OFFSET(E49,0,-4,,))-1),"")</f>
        <v/>
      </c>
      <c r="F50" s="2">
        <f ca="1">IFERROR(IF(Inputs!$E$14 = "Semi-annual",(F49/OFFSET(F49,0,-2,,))-1,(F49/OFFSET(F49,0,-4,,))-1),"")</f>
        <v>-0.1082099137059177</v>
      </c>
      <c r="G50" s="2">
        <f ca="1">IFERROR(IF(Inputs!$E$14 = "Semi-annual",(G49/OFFSET(G49,0,-2,,))-1,(G49/OFFSET(G49,0,-4,,))-1),"")</f>
        <v>-7.5348413245356571E-2</v>
      </c>
      <c r="H50" s="2">
        <f ca="1">IFERROR(IF(Inputs!$E$14 = "Semi-annual",(H49/OFFSET(H49,0,-2,,))-1,(H49/OFFSET(H49,0,-4,,))-1),"")</f>
        <v>-8.7920147898745804E-2</v>
      </c>
      <c r="I50" s="2">
        <f ca="1">IFERROR(IF(Inputs!$E$14 = "Semi-annual",(I49/OFFSET(I49,0,-2,,))-1,(I49/OFFSET(I49,0,-4,,))-1),"")</f>
        <v>-8.3558530732423697E-2</v>
      </c>
      <c r="J50" s="2">
        <f ca="1">IFERROR(IF(Inputs!$E$14 = "Semi-annual",(J49/OFFSET(J49,0,-2,,))-1,(J49/OFFSET(J49,0,-4,,))-1),"")</f>
        <v>-4.7479368935739341E-2</v>
      </c>
      <c r="K50" s="2">
        <f ca="1">IFERROR(IF(Inputs!$E$14 = "Semi-annual",(K49/OFFSET(K49,0,-2,,))-1,(K49/OFFSET(K49,0,-4,,))-1),"")</f>
        <v>-8.505053706174448E-2</v>
      </c>
      <c r="L50" s="2">
        <f ca="1">IFERROR(IF(Inputs!$E$14 = "Semi-annual",(L49/OFFSET(L49,0,-2,,))-1,(L49/OFFSET(L49,0,-4,,))-1),"")</f>
        <v>-4.131919821704666E-2</v>
      </c>
      <c r="M50" s="2">
        <f ca="1">IFERROR(IF(Inputs!$E$14 = "Semi-annual",(M49/OFFSET(M49,0,-2,,))-1,(M49/OFFSET(M49,0,-4,,))-1),"")</f>
        <v>6.3794639479657356E-2</v>
      </c>
      <c r="N50" s="2">
        <f ca="1">IFERROR(IF(Inputs!$E$14 = "Semi-annual",(N49/OFFSET(N49,0,-2,,))-1,(N49/OFFSET(N49,0,-4,,))-1),"")</f>
        <v>4.813264104420556E-2</v>
      </c>
      <c r="O50" s="2">
        <f ca="1">IFERROR(IF(Inputs!$E$14 = "Semi-annual",(O49/OFFSET(O49,0,-2,,))-1,(O49/OFFSET(O49,0,-4,,))-1),"")</f>
        <v>4.0642103809175989E-2</v>
      </c>
      <c r="P50" s="2">
        <f ca="1">IFERROR(IF(Inputs!$E$14 = "Semi-annual",(P49/OFFSET(P49,0,-2,,))-1,(P49/OFFSET(P49,0,-4,,))-1),"")</f>
        <v>8.8073237144397076E-3</v>
      </c>
      <c r="Q50" s="2">
        <f ca="1">IFERROR(IF(Inputs!$E$14 = "Semi-annual",(Q49/OFFSET(Q49,0,-2,,))-1,(Q49/OFFSET(Q49,0,-4,,))-1),"")</f>
        <v>-6.8981648353158675E-2</v>
      </c>
      <c r="R50" s="2">
        <f ca="1">IFERROR(IF(Inputs!$E$14 = "Semi-annual",(R49/OFFSET(R49,0,-2,,))-1,(R49/OFFSET(R49,0,-4,,))-1),"")</f>
        <v>3.6946965310650226E-2</v>
      </c>
      <c r="S50" s="2">
        <f ca="1">IFERROR(IF(Inputs!$E$14 = "Semi-annual",(S49/OFFSET(S49,0,-2,,))-1,(S49/OFFSET(S49,0,-4,,))-1),"")</f>
        <v>3.5551083278460016E-2</v>
      </c>
      <c r="T50" s="2">
        <f ca="1">IFERROR(IF(Inputs!$E$14 = "Semi-annual",(T49/OFFSET(T49,0,-2,,))-1,(T49/OFFSET(T49,0,-4,,))-1),"")</f>
        <v>7.1906395338686924E-2</v>
      </c>
      <c r="U50" s="2">
        <f ca="1">IFERROR(IF(Inputs!$E$14 = "Semi-annual",(U49/OFFSET(U49,0,-2,,))-1,(U49/OFFSET(U49,0,-4,,))-1),"")</f>
        <v>9.9800157807845569E-2</v>
      </c>
      <c r="V50" s="2">
        <f ca="1">IFERROR(IF(Inputs!$E$14 = "Semi-annual",(V49/OFFSET(V49,0,-2,,))-1,(V49/OFFSET(V49,0,-4,,))-1),"")</f>
        <v>9.2565351432114085E-2</v>
      </c>
      <c r="W50" s="2">
        <f ca="1">IFERROR(IF(Inputs!$E$14 = "Semi-annual",(W49/OFFSET(W49,0,-2,,))-1,(W49/OFFSET(W49,0,-4,,))-1),"")</f>
        <v>4.7478693331948358</v>
      </c>
      <c r="X50" s="2">
        <f ca="1">IFERROR(IF(Inputs!$E$14 = "Semi-annual",(X49/OFFSET(X49,0,-2,,))-1,(X49/OFFSET(X49,0,-4,,))-1),"")</f>
        <v>0.94411493473813746</v>
      </c>
      <c r="Y50" s="2">
        <f ca="1">IFERROR(IF(Inputs!$E$14 = "Semi-annual",(Y49/OFFSET(Y49,0,-2,,))-1,(Y49/OFFSET(Y49,0,-4,,))-1),"")</f>
        <v>0.92046676956511031</v>
      </c>
    </row>
    <row r="51" spans="1:25" x14ac:dyDescent="0.3">
      <c r="A51" s="85" t="str">
        <f>("Fuel and oil per " &amp; 'Annual Operational Data'!$A$33 &amp; " [cents]")</f>
        <v>Fuel and oil per ASMs [cents]</v>
      </c>
      <c r="B51" s="4">
        <f>IFERROR(B11*100/'Interim Operational Data'!B33, "N/A")</f>
        <v>2.6073804091447164</v>
      </c>
      <c r="C51" s="4">
        <f>IFERROR(C11*100/'Interim Operational Data'!C33, "N/A")</f>
        <v>2.6175772435047326</v>
      </c>
      <c r="D51" s="4">
        <f>IFERROR(D11*100/'Interim Operational Data'!D33, "N/A")</f>
        <v>2.2666574562975881</v>
      </c>
      <c r="E51" s="4">
        <f>IFERROR(E11*100/'Interim Operational Data'!E33, "N/A")</f>
        <v>2.0927802439562591</v>
      </c>
      <c r="F51" s="4">
        <f>IFERROR(F11*100/'Interim Operational Data'!F33, "N/A")</f>
        <v>1.6365336766158665</v>
      </c>
      <c r="G51" s="4">
        <f>IFERROR(G11*100/'Interim Operational Data'!G33, "N/A")</f>
        <v>1.8298705196953668</v>
      </c>
      <c r="H51" s="4">
        <f>IFERROR(H11*100/'Interim Operational Data'!H33, "N/A")</f>
        <v>1.9085103762579525</v>
      </c>
      <c r="I51" s="4">
        <f>IFERROR(I11*100/'Interim Operational Data'!I33, "N/A")</f>
        <v>2.02846365299269</v>
      </c>
      <c r="J51" s="4">
        <f>IFERROR(J11*100/'Interim Operational Data'!J33, "N/A")</f>
        <v>2.1745410248724966</v>
      </c>
      <c r="K51" s="4">
        <f>IFERROR(K11*100/'Interim Operational Data'!K33, "N/A")</f>
        <v>2.052355320734097</v>
      </c>
      <c r="L51" s="4">
        <f>IFERROR(L11*100/'Interim Operational Data'!L33, "N/A")</f>
        <v>2.4170900234519381</v>
      </c>
      <c r="M51" s="4">
        <f>IFERROR(M11*100/'Interim Operational Data'!M33, "N/A")</f>
        <v>2.3915407248645324</v>
      </c>
      <c r="N51" s="4">
        <f>IFERROR(N11*100/'Interim Operational Data'!N33, "N/A")</f>
        <v>2.6250659141746051</v>
      </c>
      <c r="O51" s="4">
        <f>IFERROR(O11*100/'Interim Operational Data'!O33, "N/A")</f>
        <v>2.7387783646860515</v>
      </c>
      <c r="P51" s="4">
        <f>IFERROR(P11*100/'Interim Operational Data'!P33, "N/A")</f>
        <v>3.1653231884594932</v>
      </c>
      <c r="Q51" s="4">
        <f>IFERROR(Q11*100/'Interim Operational Data'!Q33, "N/A")</f>
        <v>2.3927946369598745</v>
      </c>
      <c r="R51" s="4">
        <f>IFERROR(R11*100/'Interim Operational Data'!R33, "N/A")</f>
        <v>2.5466542027455259</v>
      </c>
      <c r="S51" s="4">
        <f>IFERROR(S11*100/'Interim Operational Data'!S33, "N/A")</f>
        <v>2.654260861411804</v>
      </c>
      <c r="T51" s="4">
        <f>IFERROR(T11*100/'Interim Operational Data'!T33, "N/A")</f>
        <v>2.5504700312620336</v>
      </c>
      <c r="U51" s="4">
        <f>IFERROR(U11*100/'Interim Operational Data'!U33, "N/A")</f>
        <v>2.5709987017993052</v>
      </c>
      <c r="V51" s="4">
        <f>IFERROR(V11*100/'Interim Operational Data'!V33, "N/A")</f>
        <v>2.6502172871878851</v>
      </c>
      <c r="W51" s="4">
        <f>IFERROR(W11*100/'Interim Operational Data'!W33, "N/A")</f>
        <v>3.9863731799543762</v>
      </c>
      <c r="X51" s="4">
        <f>IFERROR(X11*100/'Interim Operational Data'!X33, "N/A")</f>
        <v>2.1873598312478135</v>
      </c>
      <c r="Y51" s="4">
        <f>IFERROR(Y11*100/'Interim Operational Data'!Y33, "N/A")</f>
        <v>2.339664189375172</v>
      </c>
    </row>
    <row r="52" spans="1:25" x14ac:dyDescent="0.3">
      <c r="A52" s="85" t="s">
        <v>0</v>
      </c>
      <c r="B52" s="2"/>
      <c r="C52" s="2" t="str">
        <f ca="1">IFERROR(IF(Inputs!$E$14 = "Semi-annual",(C51/OFFSET(C51,0,-2,,))-1,(C51/OFFSET(C51,0,-4,,))-1),"")</f>
        <v/>
      </c>
      <c r="D52" s="2" t="str">
        <f ca="1">IFERROR(IF(Inputs!$E$14 = "Semi-annual",(D51/OFFSET(D51,0,-2,,))-1,(D51/OFFSET(D51,0,-4,,))-1),"")</f>
        <v/>
      </c>
      <c r="E52" s="2" t="str">
        <f ca="1">IFERROR(IF(Inputs!$E$14 = "Semi-annual",(E51/OFFSET(E51,0,-2,,))-1,(E51/OFFSET(E51,0,-4,,))-1),"")</f>
        <v/>
      </c>
      <c r="F52" s="2">
        <f ca="1">IFERROR(IF(Inputs!$E$14 = "Semi-annual",(F51/OFFSET(F51,0,-2,,))-1,(F51/OFFSET(F51,0,-4,,))-1),"")</f>
        <v>-0.37234564205662302</v>
      </c>
      <c r="G52" s="2">
        <f ca="1">IFERROR(IF(Inputs!$E$14 = "Semi-annual",(G51/OFFSET(G51,0,-2,,))-1,(G51/OFFSET(G51,0,-4,,))-1),"")</f>
        <v>-0.30092969587200702</v>
      </c>
      <c r="H52" s="2">
        <f ca="1">IFERROR(IF(Inputs!$E$14 = "Semi-annual",(H51/OFFSET(H51,0,-2,,))-1,(H51/OFFSET(H51,0,-4,,))-1),"")</f>
        <v>-0.15800670676752437</v>
      </c>
      <c r="I52" s="2">
        <f ca="1">IFERROR(IF(Inputs!$E$14 = "Semi-annual",(I51/OFFSET(I51,0,-2,,))-1,(I51/OFFSET(I51,0,-4,,))-1),"")</f>
        <v>-3.0732606134499241E-2</v>
      </c>
      <c r="J52" s="2">
        <f ca="1">IFERROR(IF(Inputs!$E$14 = "Semi-annual",(J51/OFFSET(J51,0,-2,,))-1,(J51/OFFSET(J51,0,-4,,))-1),"")</f>
        <v>0.32874810701675106</v>
      </c>
      <c r="K52" s="2">
        <f ca="1">IFERROR(IF(Inputs!$E$14 = "Semi-annual",(K51/OFFSET(K51,0,-2,,))-1,(K51/OFFSET(K51,0,-4,,))-1),"")</f>
        <v>0.12158499666728817</v>
      </c>
      <c r="L52" s="2">
        <f ca="1">IFERROR(IF(Inputs!$E$14 = "Semi-annual",(L51/OFFSET(L51,0,-2,,))-1,(L51/OFFSET(L51,0,-4,,))-1),"")</f>
        <v>0.26647989632163593</v>
      </c>
      <c r="M52" s="2">
        <f ca="1">IFERROR(IF(Inputs!$E$14 = "Semi-annual",(M51/OFFSET(M51,0,-2,,))-1,(M51/OFFSET(M51,0,-4,,))-1),"")</f>
        <v>0.17899116473503351</v>
      </c>
      <c r="N52" s="2">
        <f ca="1">IFERROR(IF(Inputs!$E$14 = "Semi-annual",(N51/OFFSET(N51,0,-2,,))-1,(N51/OFFSET(N51,0,-4,,))-1),"")</f>
        <v>0.20718160023149013</v>
      </c>
      <c r="O52" s="2">
        <f ca="1">IFERROR(IF(Inputs!$E$14 = "Semi-annual",(O51/OFFSET(O51,0,-2,,))-1,(O51/OFFSET(O51,0,-4,,))-1),"")</f>
        <v>0.33445624011461672</v>
      </c>
      <c r="P52" s="2">
        <f ca="1">IFERROR(IF(Inputs!$E$14 = "Semi-annual",(P51/OFFSET(P51,0,-2,,))-1,(P51/OFFSET(P51,0,-4,,))-1),"")</f>
        <v>0.30955949416355422</v>
      </c>
      <c r="Q52" s="2">
        <f ca="1">IFERROR(IF(Inputs!$E$14 = "Semi-annual",(Q51/OFFSET(Q51,0,-2,,))-1,(Q51/OFFSET(Q51,0,-4,,))-1),"")</f>
        <v>5.2431141243181045E-4</v>
      </c>
      <c r="R52" s="2">
        <f ca="1">IFERROR(IF(Inputs!$E$14 = "Semi-annual",(R51/OFFSET(R51,0,-2,,))-1,(R51/OFFSET(R51,0,-4,,))-1),"")</f>
        <v>-2.9870378113432627E-2</v>
      </c>
      <c r="S52" s="2">
        <f ca="1">IFERROR(IF(Inputs!$E$14 = "Semi-annual",(S51/OFFSET(S51,0,-2,,))-1,(S51/OFFSET(S51,0,-4,,))-1),"")</f>
        <v>-3.0859562921929151E-2</v>
      </c>
      <c r="T52" s="2">
        <f ca="1">IFERROR(IF(Inputs!$E$14 = "Semi-annual",(T51/OFFSET(T51,0,-2,,))-1,(T51/OFFSET(T51,0,-4,,))-1),"")</f>
        <v>-0.19424656522884087</v>
      </c>
      <c r="U52" s="2">
        <f ca="1">IFERROR(IF(Inputs!$E$14 = "Semi-annual",(U51/OFFSET(U51,0,-2,,))-1,(U51/OFFSET(U51,0,-4,,))-1),"")</f>
        <v>7.4475285963464533E-2</v>
      </c>
      <c r="V52" s="2">
        <f ca="1">IFERROR(IF(Inputs!$E$14 = "Semi-annual",(V51/OFFSET(V51,0,-2,,))-1,(V51/OFFSET(V51,0,-4,,))-1),"")</f>
        <v>4.0666331663996136E-2</v>
      </c>
      <c r="W52" s="2">
        <f ca="1">IFERROR(IF(Inputs!$E$14 = "Semi-annual",(W51/OFFSET(W51,0,-2,,))-1,(W51/OFFSET(W51,0,-4,,))-1),"")</f>
        <v>0.50187693979484016</v>
      </c>
      <c r="X52" s="2">
        <f ca="1">IFERROR(IF(Inputs!$E$14 = "Semi-annual",(X51/OFFSET(X51,0,-2,,))-1,(X51/OFFSET(X51,0,-4,,))-1),"")</f>
        <v>-0.1423699143936008</v>
      </c>
      <c r="Y52" s="2">
        <f ca="1">IFERROR(IF(Inputs!$E$14 = "Semi-annual",(Y51/OFFSET(Y51,0,-2,,))-1,(Y51/OFFSET(Y51,0,-4,,))-1),"")</f>
        <v>-8.9978463334981273E-2</v>
      </c>
    </row>
    <row r="53" spans="1:25" x14ac:dyDescent="0.3">
      <c r="A53" s="85" t="str">
        <f>("Maintenance, materials &amp; engineering per " &amp; 'Annual Operational Data'!$A$33 &amp;" [cents]")</f>
        <v>Maintenance, materials &amp; engineering per ASMs [cents]</v>
      </c>
      <c r="B53" s="4">
        <f>IFERROR(B13*100/'Interim Operational Data'!B33, "N/A")</f>
        <v>0.82801945425541679</v>
      </c>
      <c r="C53" s="4">
        <f>IFERROR(C13*100/'Interim Operational Data'!C33, "N/A")</f>
        <v>0.76749950041033832</v>
      </c>
      <c r="D53" s="4">
        <f>IFERROR(D13*100/'Interim Operational Data'!D33, "N/A")</f>
        <v>0.62438770675629396</v>
      </c>
      <c r="E53" s="4">
        <f>IFERROR(E13*100/'Interim Operational Data'!E33, "N/A")</f>
        <v>0.80613736152394788</v>
      </c>
      <c r="F53" s="4">
        <f>IFERROR(F13*100/'Interim Operational Data'!F33, "N/A")</f>
        <v>0.81092812226929711</v>
      </c>
      <c r="G53" s="4">
        <f>IFERROR(G13*100/'Interim Operational Data'!G33, "N/A")</f>
        <v>0.82986537800226301</v>
      </c>
      <c r="H53" s="4">
        <f>IFERROR(H13*100/'Interim Operational Data'!H33, "N/A")</f>
        <v>0.61190940029739438</v>
      </c>
      <c r="I53" s="4">
        <f>IFERROR(I13*100/'Interim Operational Data'!I33, "N/A")</f>
        <v>0.65467137964479805</v>
      </c>
      <c r="J53" s="4">
        <f>IFERROR(J13*100/'Interim Operational Data'!J33, "N/A")</f>
        <v>0.75234499798320065</v>
      </c>
      <c r="K53" s="4">
        <f>IFERROR(K13*100/'Interim Operational Data'!K33, "N/A")</f>
        <v>0.66167232879587146</v>
      </c>
      <c r="L53" s="4">
        <f>IFERROR(L13*100/'Interim Operational Data'!L33, "N/A")</f>
        <v>0.61904218453976301</v>
      </c>
      <c r="M53" s="4">
        <f>IFERROR(M13*100/'Interim Operational Data'!M33, "N/A")</f>
        <v>0.79067264781235558</v>
      </c>
      <c r="N53" s="4">
        <f>IFERROR(N13*100/'Interim Operational Data'!N33, "N/A")</f>
        <v>0.81456590791357442</v>
      </c>
      <c r="O53" s="4">
        <f>IFERROR(O13*100/'Interim Operational Data'!O33, "N/A")</f>
        <v>0.62503240687855932</v>
      </c>
      <c r="P53" s="4">
        <f>IFERROR(P13*100/'Interim Operational Data'!P33, "N/A")</f>
        <v>0.63952919270844599</v>
      </c>
      <c r="Q53" s="4">
        <f>IFERROR(Q13*100/'Interim Operational Data'!Q33, "N/A")</f>
        <v>0.73942973948080171</v>
      </c>
      <c r="R53" s="4">
        <f>IFERROR(R13*100/'Interim Operational Data'!R33, "N/A")</f>
        <v>0.70820690087701921</v>
      </c>
      <c r="S53" s="4">
        <f>IFERROR(S13*100/'Interim Operational Data'!S33, "N/A")</f>
        <v>0.68298336998991938</v>
      </c>
      <c r="T53" s="4">
        <f>IFERROR(T13*100/'Interim Operational Data'!T33, "N/A")</f>
        <v>0.59269843361441588</v>
      </c>
      <c r="U53" s="4">
        <f>IFERROR(U13*100/'Interim Operational Data'!U33, "N/A")</f>
        <v>0.71655482212912625</v>
      </c>
      <c r="V53" s="4">
        <f>IFERROR(V13*100/'Interim Operational Data'!V33, "N/A")</f>
        <v>0.85593142050326443</v>
      </c>
      <c r="W53" s="4">
        <f>IFERROR(W13*100/'Interim Operational Data'!W33, "N/A")</f>
        <v>5.8188189159011463</v>
      </c>
      <c r="X53" s="4">
        <f>IFERROR(X13*100/'Interim Operational Data'!X33, "N/A")</f>
        <v>0.56246395660658066</v>
      </c>
      <c r="Y53" s="4">
        <f>IFERROR(Y13*100/'Interim Operational Data'!Y33, "N/A")</f>
        <v>2.3146410429647419</v>
      </c>
    </row>
    <row r="54" spans="1:25" x14ac:dyDescent="0.3">
      <c r="A54" s="85" t="s">
        <v>0</v>
      </c>
      <c r="B54" s="2"/>
      <c r="C54" s="2" t="str">
        <f ca="1">IFERROR(IF(Inputs!$E$14 = "Semi-annual",(C53/OFFSET(C53,0,-2,,))-1,(C53/OFFSET(C53,0,-4,,))-1),"")</f>
        <v/>
      </c>
      <c r="D54" s="2" t="str">
        <f ca="1">IFERROR(IF(Inputs!$E$14 = "Semi-annual",(D53/OFFSET(D53,0,-2,,))-1,(D53/OFFSET(D53,0,-4,,))-1),"")</f>
        <v/>
      </c>
      <c r="E54" s="2" t="str">
        <f ca="1">IFERROR(IF(Inputs!$E$14 = "Semi-annual",(E53/OFFSET(E53,0,-2,,))-1,(E53/OFFSET(E53,0,-4,,))-1),"")</f>
        <v/>
      </c>
      <c r="F54" s="2">
        <f ca="1">IFERROR(IF(Inputs!$E$14 = "Semi-annual",(F53/OFFSET(F53,0,-2,,))-1,(F53/OFFSET(F53,0,-4,,))-1),"")</f>
        <v>-2.0641220321917175E-2</v>
      </c>
      <c r="G54" s="2">
        <f ca="1">IFERROR(IF(Inputs!$E$14 = "Semi-annual",(G53/OFFSET(G53,0,-2,,))-1,(G53/OFFSET(G53,0,-4,,))-1),"")</f>
        <v>8.125852532618083E-2</v>
      </c>
      <c r="H54" s="2">
        <f ca="1">IFERROR(IF(Inputs!$E$14 = "Semi-annual",(H53/OFFSET(H53,0,-2,,))-1,(H53/OFFSET(H53,0,-4,,))-1),"")</f>
        <v>-1.9984868894560082E-2</v>
      </c>
      <c r="I54" s="2">
        <f ca="1">IFERROR(IF(Inputs!$E$14 = "Semi-annual",(I53/OFFSET(I53,0,-2,,))-1,(I53/OFFSET(I53,0,-4,,))-1),"")</f>
        <v>-0.18789103335046242</v>
      </c>
      <c r="J54" s="2">
        <f ca="1">IFERROR(IF(Inputs!$E$14 = "Semi-annual",(J53/OFFSET(J53,0,-2,,))-1,(J53/OFFSET(J53,0,-4,,))-1),"")</f>
        <v>-7.2242067671987709E-2</v>
      </c>
      <c r="K54" s="2">
        <f ca="1">IFERROR(IF(Inputs!$E$14 = "Semi-annual",(K53/OFFSET(K53,0,-2,,))-1,(K53/OFFSET(K53,0,-4,,))-1),"")</f>
        <v>-0.2026751008835711</v>
      </c>
      <c r="L54" s="2">
        <f ca="1">IFERROR(IF(Inputs!$E$14 = "Semi-annual",(L53/OFFSET(L53,0,-2,,))-1,(L53/OFFSET(L53,0,-4,,))-1),"")</f>
        <v>1.1656601841550485E-2</v>
      </c>
      <c r="M54" s="2">
        <f ca="1">IFERROR(IF(Inputs!$E$14 = "Semi-annual",(M53/OFFSET(M53,0,-2,,))-1,(M53/OFFSET(M53,0,-4,,))-1),"")</f>
        <v>0.20773974912626714</v>
      </c>
      <c r="N54" s="2">
        <f ca="1">IFERROR(IF(Inputs!$E$14 = "Semi-annual",(N53/OFFSET(N53,0,-2,,))-1,(N53/OFFSET(N53,0,-4,,))-1),"")</f>
        <v>8.2702629906716174E-2</v>
      </c>
      <c r="O54" s="2">
        <f ca="1">IFERROR(IF(Inputs!$E$14 = "Semi-annual",(O53/OFFSET(O53,0,-2,,))-1,(O53/OFFSET(O53,0,-4,,))-1),"")</f>
        <v>-5.5374722990139902E-2</v>
      </c>
      <c r="P54" s="2">
        <f ca="1">IFERROR(IF(Inputs!$E$14 = "Semi-annual",(P53/OFFSET(P53,0,-2,,))-1,(P53/OFFSET(P53,0,-4,,))-1),"")</f>
        <v>3.3094688343274115E-2</v>
      </c>
      <c r="Q54" s="2">
        <f ca="1">IFERROR(IF(Inputs!$E$14 = "Semi-annual",(Q53/OFFSET(Q53,0,-2,,))-1,(Q53/OFFSET(Q53,0,-4,,))-1),"")</f>
        <v>-6.4809258892834509E-2</v>
      </c>
      <c r="R54" s="2">
        <f ca="1">IFERROR(IF(Inputs!$E$14 = "Semi-annual",(R53/OFFSET(R53,0,-2,,))-1,(R53/OFFSET(R53,0,-4,,))-1),"")</f>
        <v>-0.13057139514834681</v>
      </c>
      <c r="S54" s="2">
        <f ca="1">IFERROR(IF(Inputs!$E$14 = "Semi-annual",(S53/OFFSET(S53,0,-2,,))-1,(S53/OFFSET(S53,0,-4,,))-1),"")</f>
        <v>9.2716733522298256E-2</v>
      </c>
      <c r="T54" s="2">
        <f ca="1">IFERROR(IF(Inputs!$E$14 = "Semi-annual",(T53/OFFSET(T53,0,-2,,))-1,(T53/OFFSET(T53,0,-4,,))-1),"")</f>
        <v>-7.3226929478698133E-2</v>
      </c>
      <c r="U54" s="2">
        <f ca="1">IFERROR(IF(Inputs!$E$14 = "Semi-annual",(U53/OFFSET(U53,0,-2,,))-1,(U53/OFFSET(U53,0,-4,,))-1),"")</f>
        <v>-3.0935890362940088E-2</v>
      </c>
      <c r="V54" s="2">
        <f ca="1">IFERROR(IF(Inputs!$E$14 = "Semi-annual",(V53/OFFSET(V53,0,-2,,))-1,(V53/OFFSET(V53,0,-4,,))-1),"")</f>
        <v>0.20858949474130828</v>
      </c>
      <c r="W54" s="2">
        <f ca="1">IFERROR(IF(Inputs!$E$14 = "Semi-annual",(W53/OFFSET(W53,0,-2,,))-1,(W53/OFFSET(W53,0,-4,,))-1),"")</f>
        <v>7.5197080508519996</v>
      </c>
      <c r="X54" s="2">
        <f ca="1">IFERROR(IF(Inputs!$E$14 = "Semi-annual",(X53/OFFSET(X53,0,-2,,))-1,(X53/OFFSET(X53,0,-4,,))-1),"")</f>
        <v>-5.1011568941490504E-2</v>
      </c>
      <c r="Y54" s="2">
        <f ca="1">IFERROR(IF(Inputs!$E$14 = "Semi-annual",(Y53/OFFSET(Y53,0,-2,,))-1,(Y53/OFFSET(Y53,0,-4,,))-1),"")</f>
        <v>2.2302358053877329</v>
      </c>
    </row>
    <row r="55" spans="1:25" x14ac:dyDescent="0.3">
      <c r="A55" s="85" t="str">
        <f>("Landing fees, en route &amp; other variable charges per " &amp; 'Annual Operational Data'!$A$33 &amp;" [cents]")</f>
        <v>Landing fees, en route &amp; other variable charges per ASMs [cents]</v>
      </c>
      <c r="B55" s="4">
        <f>IFERROR(B15*100/'Interim Operational Data'!B33, "N/A")</f>
        <v>1.8850655660708424</v>
      </c>
      <c r="C55" s="4">
        <f>IFERROR(C15*100/'Interim Operational Data'!C33, "N/A")</f>
        <v>2.1691959564229037</v>
      </c>
      <c r="D55" s="4">
        <f>IFERROR(D15*100/'Interim Operational Data'!D33, "N/A")</f>
        <v>1.8601550430447926</v>
      </c>
      <c r="E55" s="4">
        <f>IFERROR(E15*100/'Interim Operational Data'!E33, "N/A")</f>
        <v>-2.3826720045042795E-2</v>
      </c>
      <c r="F55" s="4">
        <f>IFERROR(F15*100/'Interim Operational Data'!F33, "N/A")</f>
        <v>2.0585098488374465</v>
      </c>
      <c r="G55" s="4">
        <f>IFERROR(G15*100/'Interim Operational Data'!G33, "N/A")</f>
        <v>1.3263957087734917</v>
      </c>
      <c r="H55" s="4">
        <f>IFERROR(H15*100/'Interim Operational Data'!H33, "N/A")</f>
        <v>1.1402540807303869</v>
      </c>
      <c r="I55" s="4">
        <f>IFERROR(I15*100/'Interim Operational Data'!I33, "N/A")</f>
        <v>1.1227783764892649</v>
      </c>
      <c r="J55" s="4">
        <f>IFERROR(J15*100/'Interim Operational Data'!J33, "N/A")</f>
        <v>1.8181670784594015</v>
      </c>
      <c r="K55" s="4">
        <f>IFERROR(K15*100/'Interim Operational Data'!K33, "N/A")</f>
        <v>1.2589340769124988</v>
      </c>
      <c r="L55" s="4">
        <f>IFERROR(L15*100/'Interim Operational Data'!L33, "N/A")</f>
        <v>1.1533192566736665</v>
      </c>
      <c r="M55" s="4">
        <f>IFERROR(M15*100/'Interim Operational Data'!M33, "N/A")</f>
        <v>1.2885035742127275</v>
      </c>
      <c r="N55" s="4">
        <f>IFERROR(N15*100/'Interim Operational Data'!N33, "N/A")</f>
        <v>1.8868655601279283</v>
      </c>
      <c r="O55" s="4">
        <f>IFERROR(O15*100/'Interim Operational Data'!O33, "N/A")</f>
        <v>1.3040448852602669</v>
      </c>
      <c r="P55" s="4">
        <f>IFERROR(P15*100/'Interim Operational Data'!P33, "N/A")</f>
        <v>1.1359146671933409</v>
      </c>
      <c r="Q55" s="4">
        <f>IFERROR(Q15*100/'Interim Operational Data'!Q33, "N/A")</f>
        <v>1.3457621258550589</v>
      </c>
      <c r="R55" s="4">
        <f>IFERROR(R15*100/'Interim Operational Data'!R33, "N/A")</f>
        <v>1.8066502573393346</v>
      </c>
      <c r="S55" s="4">
        <f>IFERROR(S15*100/'Interim Operational Data'!S33, "N/A")</f>
        <v>1.2749022906478493</v>
      </c>
      <c r="T55" s="4">
        <f>IFERROR(T15*100/'Interim Operational Data'!T33, "N/A")</f>
        <v>1.1550619080280939</v>
      </c>
      <c r="U55" s="4">
        <f>IFERROR(U15*100/'Interim Operational Data'!U33, "N/A")</f>
        <v>1.3356581884486913</v>
      </c>
      <c r="V55" s="4">
        <f>IFERROR(V15*100/'Interim Operational Data'!V33, "N/A")</f>
        <v>1.7720950520789809</v>
      </c>
      <c r="W55" s="4">
        <f>IFERROR(W15*100/'Interim Operational Data'!W33, "N/A")</f>
        <v>7.2011902605627434</v>
      </c>
      <c r="X55" s="4">
        <f>IFERROR(X15*100/'Interim Operational Data'!X33, "N/A")</f>
        <v>1.5998974765698295</v>
      </c>
      <c r="Y55" s="4">
        <f>IFERROR(Y15*100/'Interim Operational Data'!Y33, "N/A")</f>
        <v>0.6881365262868151</v>
      </c>
    </row>
    <row r="56" spans="1:25" x14ac:dyDescent="0.3">
      <c r="A56" s="85" t="s">
        <v>0</v>
      </c>
      <c r="B56" s="2"/>
      <c r="C56" s="2" t="str">
        <f ca="1">IFERROR(IF(Inputs!$E$14 = "Semi-annual",(C55/OFFSET(C55,0,-2,,))-1,(C55/OFFSET(C55,0,-4,,))-1),"")</f>
        <v/>
      </c>
      <c r="D56" s="2" t="str">
        <f ca="1">IFERROR(IF(Inputs!$E$14 = "Semi-annual",(D55/OFFSET(D55,0,-2,,))-1,(D55/OFFSET(D55,0,-4,,))-1),"")</f>
        <v/>
      </c>
      <c r="E56" s="2" t="str">
        <f ca="1">IFERROR(IF(Inputs!$E$14 = "Semi-annual",(E55/OFFSET(E55,0,-2,,))-1,(E55/OFFSET(E55,0,-4,,))-1),"")</f>
        <v/>
      </c>
      <c r="F56" s="2">
        <f ca="1">IFERROR(IF(Inputs!$E$14 = "Semi-annual",(F55/OFFSET(F55,0,-2,,))-1,(F55/OFFSET(F55,0,-4,,))-1),"")</f>
        <v>9.2009681725885306E-2</v>
      </c>
      <c r="G56" s="2">
        <f ca="1">IFERROR(IF(Inputs!$E$14 = "Semi-annual",(G55/OFFSET(G55,0,-2,,))-1,(G55/OFFSET(G55,0,-4,,))-1),"")</f>
        <v>-0.38853117218567268</v>
      </c>
      <c r="H56" s="2">
        <f ca="1">IFERROR(IF(Inputs!$E$14 = "Semi-annual",(H55/OFFSET(H55,0,-2,,))-1,(H55/OFFSET(H55,0,-4,,))-1),"")</f>
        <v>-0.38701126823065057</v>
      </c>
      <c r="I56" s="2">
        <f ca="1">IFERROR(IF(Inputs!$E$14 = "Semi-annual",(I55/OFFSET(I55,0,-2,,))-1,(I55/OFFSET(I55,0,-4,,))-1),"")</f>
        <v>-48.122657854993413</v>
      </c>
      <c r="J56" s="2">
        <f ca="1">IFERROR(IF(Inputs!$E$14 = "Semi-annual",(J55/OFFSET(J55,0,-2,,))-1,(J55/OFFSET(J55,0,-4,,))-1),"")</f>
        <v>-0.11675570583924078</v>
      </c>
      <c r="K56" s="2">
        <f ca="1">IFERROR(IF(Inputs!$E$14 = "Semi-annual",(K55/OFFSET(K55,0,-2,,))-1,(K55/OFFSET(K55,0,-4,,))-1),"")</f>
        <v>-5.0860864080579771E-2</v>
      </c>
      <c r="L56" s="2">
        <f ca="1">IFERROR(IF(Inputs!$E$14 = "Semi-annual",(L55/OFFSET(L55,0,-2,,))-1,(L55/OFFSET(L55,0,-4,,))-1),"")</f>
        <v>1.1458126889500653E-2</v>
      </c>
      <c r="M56" s="2">
        <f ca="1">IFERROR(IF(Inputs!$E$14 = "Semi-annual",(M55/OFFSET(M55,0,-2,,))-1,(M55/OFFSET(M55,0,-4,,))-1),"")</f>
        <v>0.1476027693387334</v>
      </c>
      <c r="N56" s="2">
        <f ca="1">IFERROR(IF(Inputs!$E$14 = "Semi-annual",(N55/OFFSET(N55,0,-2,,))-1,(N55/OFFSET(N55,0,-4,,))-1),"")</f>
        <v>3.7784471230629446E-2</v>
      </c>
      <c r="O56" s="2">
        <f ca="1">IFERROR(IF(Inputs!$E$14 = "Semi-annual",(O55/OFFSET(O55,0,-2,,))-1,(O55/OFFSET(O55,0,-4,,))-1),"")</f>
        <v>3.5832542128338529E-2</v>
      </c>
      <c r="P56" s="2">
        <f ca="1">IFERROR(IF(Inputs!$E$14 = "Semi-annual",(P55/OFFSET(P55,0,-2,,))-1,(P55/OFFSET(P55,0,-4,,))-1),"")</f>
        <v>-1.5090868707527627E-2</v>
      </c>
      <c r="Q56" s="2">
        <f ca="1">IFERROR(IF(Inputs!$E$14 = "Semi-annual",(Q55/OFFSET(Q55,0,-2,,))-1,(Q55/OFFSET(Q55,0,-4,,))-1),"")</f>
        <v>4.4438023136502469E-2</v>
      </c>
      <c r="R56" s="2">
        <f ca="1">IFERROR(IF(Inputs!$E$14 = "Semi-annual",(R55/OFFSET(R55,0,-2,,))-1,(R55/OFFSET(R55,0,-4,,))-1),"")</f>
        <v>-4.2512463253161048E-2</v>
      </c>
      <c r="S56" s="2">
        <f ca="1">IFERROR(IF(Inputs!$E$14 = "Semi-annual",(S55/OFFSET(S55,0,-2,,))-1,(S55/OFFSET(S55,0,-4,,))-1),"")</f>
        <v>-2.2347846260369453E-2</v>
      </c>
      <c r="T56" s="2">
        <f ca="1">IFERROR(IF(Inputs!$E$14 = "Semi-annual",(T55/OFFSET(T55,0,-2,,))-1,(T55/OFFSET(T55,0,-4,,))-1),"")</f>
        <v>1.68562317115446E-2</v>
      </c>
      <c r="U56" s="2">
        <f ca="1">IFERROR(IF(Inputs!$E$14 = "Semi-annual",(U55/OFFSET(U55,0,-2,,))-1,(U55/OFFSET(U55,0,-4,,))-1),"")</f>
        <v>-7.5079668332528327E-3</v>
      </c>
      <c r="V56" s="2">
        <f ca="1">IFERROR(IF(Inputs!$E$14 = "Semi-annual",(V55/OFFSET(V55,0,-2,,))-1,(V55/OFFSET(V55,0,-4,,))-1),"")</f>
        <v>-1.9126671097505876E-2</v>
      </c>
      <c r="W56" s="2">
        <f ca="1">IFERROR(IF(Inputs!$E$14 = "Semi-annual",(W55/OFFSET(W55,0,-2,,))-1,(W55/OFFSET(W55,0,-4,,))-1),"")</f>
        <v>4.648425227084199</v>
      </c>
      <c r="X56" s="2">
        <f ca="1">IFERROR(IF(Inputs!$E$14 = "Semi-annual",(X55/OFFSET(X55,0,-2,,))-1,(X55/OFFSET(X55,0,-4,,))-1),"")</f>
        <v>0.38511837802802518</v>
      </c>
      <c r="Y56" s="2">
        <f ca="1">IFERROR(IF(Inputs!$E$14 = "Semi-annual",(Y55/OFFSET(Y55,0,-2,,))-1,(Y55/OFFSET(Y55,0,-4,,))-1),"")</f>
        <v>-0.48479593638694674</v>
      </c>
    </row>
    <row r="57" spans="1:25" x14ac:dyDescent="0.3">
      <c r="A57" s="85" t="str">
        <f>("Selling &amp; distribution charges per " &amp; 'Annual Operational Data'!$A$33 &amp;" [cents]")</f>
        <v>Selling &amp; distribution charges per ASMs [cents]</v>
      </c>
      <c r="B57" s="4">
        <f>IFERROR(B17*100/'Interim Operational Data'!B33, "N/A")</f>
        <v>0.67827125508156472</v>
      </c>
      <c r="C57" s="4">
        <f>IFERROR(C17*100/'Interim Operational Data'!C33, "N/A")</f>
        <v>0.61399960032827061</v>
      </c>
      <c r="D57" s="4">
        <f>IFERROR(D17*100/'Interim Operational Data'!D33, "N/A")</f>
        <v>0.51056703104551127</v>
      </c>
      <c r="E57" s="4">
        <f>IFERROR(E17*100/'Interim Operational Data'!E33, "N/A")</f>
        <v>0.57581240108853415</v>
      </c>
      <c r="F57" s="4">
        <f>IFERROR(F17*100/'Interim Operational Data'!F33, "N/A")</f>
        <v>0.66782315951589166</v>
      </c>
      <c r="G57" s="4">
        <f>IFERROR(G17*100/'Interim Operational Data'!G33, "N/A")</f>
        <v>0.59028081280495703</v>
      </c>
      <c r="H57" s="4">
        <f>IFERROR(H17*100/'Interim Operational Data'!H33, "N/A")</f>
        <v>0.48251886631380436</v>
      </c>
      <c r="I57" s="4">
        <f>IFERROR(I17*100/'Interim Operational Data'!I33, "N/A")</f>
        <v>0.58343770621194424</v>
      </c>
      <c r="J57" s="4">
        <f>IFERROR(J17*100/'Interim Operational Data'!J33, "N/A")</f>
        <v>0.67645054643226366</v>
      </c>
      <c r="K57" s="4">
        <f>IFERROR(K17*100/'Interim Operational Data'!K33, "N/A")</f>
        <v>0.58262297978043553</v>
      </c>
      <c r="L57" s="4">
        <f>IFERROR(L17*100/'Interim Operational Data'!L33, "N/A")</f>
        <v>0.52400251305440526</v>
      </c>
      <c r="M57" s="4">
        <f>IFERROR(M17*100/'Interim Operational Data'!M33, "N/A")</f>
        <v>0.54989167687361362</v>
      </c>
      <c r="N57" s="4">
        <f>IFERROR(N17*100/'Interim Operational Data'!N33, "N/A")</f>
        <v>0.60137873670181863</v>
      </c>
      <c r="O57" s="4">
        <f>IFERROR(O17*100/'Interim Operational Data'!O33, "N/A")</f>
        <v>0.56537022258560599</v>
      </c>
      <c r="P57" s="4">
        <f>IFERROR(P17*100/'Interim Operational Data'!P33, "N/A")</f>
        <v>0.54717840675776785</v>
      </c>
      <c r="Q57" s="4">
        <f>IFERROR(Q17*100/'Interim Operational Data'!Q33, "N/A")</f>
        <v>0.53830485034202358</v>
      </c>
      <c r="R57" s="4">
        <f>IFERROR(R17*100/'Interim Operational Data'!R33, "N/A")</f>
        <v>0.6157064077012453</v>
      </c>
      <c r="S57" s="4">
        <f>IFERROR(S17*100/'Interim Operational Data'!S33, "N/A")</f>
        <v>0.58656218834428364</v>
      </c>
      <c r="T57" s="4">
        <f>IFERROR(T17*100/'Interim Operational Data'!T33, "N/A")</f>
        <v>0.57869768321407544</v>
      </c>
      <c r="U57" s="4">
        <f>IFERROR(U17*100/'Interim Operational Data'!U33, "N/A")</f>
        <v>0.55604654197220194</v>
      </c>
      <c r="V57" s="4">
        <f>IFERROR(V17*100/'Interim Operational Data'!V33, "N/A")</f>
        <v>0.58013129611887926</v>
      </c>
      <c r="W57" s="4">
        <f>IFERROR(W17*100/'Interim Operational Data'!W33, "N/A")</f>
        <v>0.41792622047908778</v>
      </c>
      <c r="X57" s="4">
        <f>IFERROR(X17*100/'Interim Operational Data'!X33, "N/A")</f>
        <v>0.37497597107105379</v>
      </c>
      <c r="Y57" s="4">
        <f>IFERROR(Y17*100/'Interim Operational Data'!Y33, "N/A")</f>
        <v>0.32530090333558542</v>
      </c>
    </row>
    <row r="58" spans="1:25" x14ac:dyDescent="0.3">
      <c r="A58" s="85" t="s">
        <v>0</v>
      </c>
      <c r="B58" s="2"/>
      <c r="C58" s="2" t="str">
        <f ca="1">IFERROR(IF(Inputs!$E$14 = "Semi-annual",(C57/OFFSET(C57,0,-2,,))-1,(C57/OFFSET(C57,0,-4,,))-1),"")</f>
        <v/>
      </c>
      <c r="D58" s="2" t="str">
        <f ca="1">IFERROR(IF(Inputs!$E$14 = "Semi-annual",(D57/OFFSET(D57,0,-2,,))-1,(D57/OFFSET(D57,0,-4,,))-1),"")</f>
        <v/>
      </c>
      <c r="E58" s="2" t="str">
        <f ca="1">IFERROR(IF(Inputs!$E$14 = "Semi-annual",(E57/OFFSET(E57,0,-2,,))-1,(E57/OFFSET(E57,0,-4,,))-1),"")</f>
        <v/>
      </c>
      <c r="F58" s="2">
        <f ca="1">IFERROR(IF(Inputs!$E$14 = "Semi-annual",(F57/OFFSET(F57,0,-2,,))-1,(F57/OFFSET(F57,0,-4,,))-1),"")</f>
        <v>-1.5404007596365843E-2</v>
      </c>
      <c r="G58" s="2">
        <f ca="1">IFERROR(IF(Inputs!$E$14 = "Semi-annual",(G57/OFFSET(G57,0,-2,,))-1,(G57/OFFSET(G57,0,-4,,))-1),"")</f>
        <v>-3.8629972251826405E-2</v>
      </c>
      <c r="H58" s="2">
        <f ca="1">IFERROR(IF(Inputs!$E$14 = "Semi-annual",(H57/OFFSET(H57,0,-2,,))-1,(H57/OFFSET(H57,0,-4,,))-1),"")</f>
        <v>-5.493532293746306E-2</v>
      </c>
      <c r="I58" s="2">
        <f ca="1">IFERROR(IF(Inputs!$E$14 = "Semi-annual",(I57/OFFSET(I57,0,-2,,))-1,(I57/OFFSET(I57,0,-4,,))-1),"")</f>
        <v>1.3242689995899726E-2</v>
      </c>
      <c r="J58" s="2">
        <f ca="1">IFERROR(IF(Inputs!$E$14 = "Semi-annual",(J57/OFFSET(J57,0,-2,,))-1,(J57/OFFSET(J57,0,-4,,))-1),"")</f>
        <v>1.2918669850602305E-2</v>
      </c>
      <c r="K58" s="2">
        <f ca="1">IFERROR(IF(Inputs!$E$14 = "Semi-annual",(K57/OFFSET(K57,0,-2,,))-1,(K57/OFFSET(K57,0,-4,,))-1),"")</f>
        <v>-1.2973203360841512E-2</v>
      </c>
      <c r="L58" s="2">
        <f ca="1">IFERROR(IF(Inputs!$E$14 = "Semi-annual",(L57/OFFSET(L57,0,-2,,))-1,(L57/OFFSET(L57,0,-4,,))-1),"")</f>
        <v>8.5973108279712607E-2</v>
      </c>
      <c r="M58" s="2">
        <f ca="1">IFERROR(IF(Inputs!$E$14 = "Semi-annual",(M57/OFFSET(M57,0,-2,,))-1,(M57/OFFSET(M57,0,-4,,))-1),"")</f>
        <v>-5.7497191184528007E-2</v>
      </c>
      <c r="N58" s="2">
        <f ca="1">IFERROR(IF(Inputs!$E$14 = "Semi-annual",(N57/OFFSET(N57,0,-2,,))-1,(N57/OFFSET(N57,0,-4,,))-1),"")</f>
        <v>-0.11097900670845617</v>
      </c>
      <c r="O58" s="2">
        <f ca="1">IFERROR(IF(Inputs!$E$14 = "Semi-annual",(O57/OFFSET(O57,0,-2,,))-1,(O57/OFFSET(O57,0,-4,,))-1),"")</f>
        <v>-2.9612215435325551E-2</v>
      </c>
      <c r="P58" s="2">
        <f ca="1">IFERROR(IF(Inputs!$E$14 = "Semi-annual",(P57/OFFSET(P57,0,-2,,))-1,(P57/OFFSET(P57,0,-4,,))-1),"")</f>
        <v>4.4228592661265109E-2</v>
      </c>
      <c r="Q58" s="2">
        <f ca="1">IFERROR(IF(Inputs!$E$14 = "Semi-annual",(Q57/OFFSET(Q57,0,-2,,))-1,(Q57/OFFSET(Q57,0,-4,,))-1),"")</f>
        <v>-2.1071107308745729E-2</v>
      </c>
      <c r="R58" s="2">
        <f ca="1">IFERROR(IF(Inputs!$E$14 = "Semi-annual",(R57/OFFSET(R57,0,-2,,))-1,(R57/OFFSET(R57,0,-4,,))-1),"")</f>
        <v>2.3824705007039038E-2</v>
      </c>
      <c r="S58" s="2">
        <f ca="1">IFERROR(IF(Inputs!$E$14 = "Semi-annual",(S57/OFFSET(S57,0,-2,,))-1,(S57/OFFSET(S57,0,-4,,))-1),"")</f>
        <v>3.7483342617091742E-2</v>
      </c>
      <c r="T58" s="2">
        <f ca="1">IFERROR(IF(Inputs!$E$14 = "Semi-annual",(T57/OFFSET(T57,0,-2,,))-1,(T57/OFFSET(T57,0,-4,,))-1),"")</f>
        <v>5.7603290018461761E-2</v>
      </c>
      <c r="U58" s="2">
        <f ca="1">IFERROR(IF(Inputs!$E$14 = "Semi-annual",(U57/OFFSET(U57,0,-2,,))-1,(U57/OFFSET(U57,0,-4,,))-1),"")</f>
        <v>3.295844653620672E-2</v>
      </c>
      <c r="V58" s="2">
        <f ca="1">IFERROR(IF(Inputs!$E$14 = "Semi-annual",(V57/OFFSET(V57,0,-2,,))-1,(V57/OFFSET(V57,0,-4,,))-1),"")</f>
        <v>-5.7779342779924248E-2</v>
      </c>
      <c r="W58" s="2">
        <f ca="1">IFERROR(IF(Inputs!$E$14 = "Semi-annual",(W57/OFFSET(W57,0,-2,,))-1,(W57/OFFSET(W57,0,-4,,))-1),"")</f>
        <v>-0.28749887261095441</v>
      </c>
      <c r="X58" s="2">
        <f ca="1">IFERROR(IF(Inputs!$E$14 = "Semi-annual",(X57/OFFSET(X57,0,-2,,))-1,(X57/OFFSET(X57,0,-4,,))-1),"")</f>
        <v>-0.35203478094392104</v>
      </c>
      <c r="Y58" s="2">
        <f ca="1">IFERROR(IF(Inputs!$E$14 = "Semi-annual",(Y57/OFFSET(Y57,0,-2,,))-1,(Y57/OFFSET(Y57,0,-4,,))-1),"")</f>
        <v>-0.41497540442963865</v>
      </c>
    </row>
    <row r="59" spans="1:25" x14ac:dyDescent="0.3">
      <c r="A59" s="85" t="str">
        <f>("Other EBITDAR expenses [sub-total] per " &amp; 'Annual Operational Data'!$A$33 &amp;" [cents]")</f>
        <v>Other EBITDAR expenses [sub-total] per ASMs [cents]</v>
      </c>
      <c r="B59" s="4">
        <f>IFERROR(B19*100/'Interim Operational Data'!B33, "N/A")</f>
        <v>3.8934531785201512</v>
      </c>
      <c r="C59" s="4">
        <f>IFERROR(C19*100/'Interim Operational Data'!C33, "N/A")</f>
        <v>3.0619190595317702</v>
      </c>
      <c r="D59" s="4">
        <f>IFERROR(D19*100/'Interim Operational Data'!D33, "N/A")</f>
        <v>2.3999902478445052</v>
      </c>
      <c r="E59" s="4">
        <f>IFERROR(E19*100/'Interim Operational Data'!E33, "N/A")</f>
        <v>5.0671491295791009</v>
      </c>
      <c r="F59" s="4">
        <f>IFERROR(F19*100/'Interim Operational Data'!F33, "N/A")</f>
        <v>3.2180269829419617</v>
      </c>
      <c r="G59" s="4">
        <f>IFERROR(G19*100/'Interim Operational Data'!G33, "N/A")</f>
        <v>3.2569611906532336</v>
      </c>
      <c r="H59" s="4">
        <f>IFERROR(H19*100/'Interim Operational Data'!H33, "N/A")</f>
        <v>2.754940119400604</v>
      </c>
      <c r="I59" s="4">
        <f>IFERROR(I19*100/'Interim Operational Data'!I33, "N/A")</f>
        <v>3.585428229453635</v>
      </c>
      <c r="J59" s="4">
        <f>IFERROR(J19*100/'Interim Operational Data'!J33, "N/A")</f>
        <v>3.3954517672136557</v>
      </c>
      <c r="K59" s="4">
        <f>IFERROR(K19*100/'Interim Operational Data'!K33, "N/A")</f>
        <v>3.0390083065934275</v>
      </c>
      <c r="L59" s="4">
        <f>IFERROR(L19*100/'Interim Operational Data'!L33, "N/A")</f>
        <v>2.5301101733264177</v>
      </c>
      <c r="M59" s="4">
        <f>IFERROR(M19*100/'Interim Operational Data'!M33, "N/A")</f>
        <v>3.4848164848026042</v>
      </c>
      <c r="N59" s="4">
        <f>IFERROR(N19*100/'Interim Operational Data'!N33, "N/A")</f>
        <v>3.5955448278997624</v>
      </c>
      <c r="O59" s="4">
        <f>IFERROR(O19*100/'Interim Operational Data'!O33, "N/A")</f>
        <v>3.2757380233226314</v>
      </c>
      <c r="P59" s="4">
        <f>IFERROR(P19*100/'Interim Operational Data'!P33, "N/A")</f>
        <v>2.4242081312053005</v>
      </c>
      <c r="Q59" s="4">
        <f>IFERROR(Q19*100/'Interim Operational Data'!Q33, "N/A")</f>
        <v>3.8716541159214777</v>
      </c>
      <c r="R59" s="4">
        <f>IFERROR(R19*100/'Interim Operational Data'!R33, "N/A")</f>
        <v>3.1999389357994295</v>
      </c>
      <c r="S59" s="4">
        <f>IFERROR(S19*100/'Interim Operational Data'!S33, "N/A")</f>
        <v>2.9970917294851751</v>
      </c>
      <c r="T59" s="4">
        <f>IFERROR(T19*100/'Interim Operational Data'!T33, "N/A")</f>
        <v>2.8071504552682769</v>
      </c>
      <c r="U59" s="4">
        <f>IFERROR(U19*100/'Interim Operational Data'!U33, "N/A")</f>
        <v>3.0955168315978256</v>
      </c>
      <c r="V59" s="4">
        <f>IFERROR(V19*100/'Interim Operational Data'!V33, "N/A")</f>
        <v>3.1923071868399524</v>
      </c>
      <c r="W59" s="4">
        <f>IFERROR(W19*100/'Interim Operational Data'!W33, "N/A")</f>
        <v>11.348304294547537</v>
      </c>
      <c r="X59" s="4">
        <f>IFERROR(X19*100/'Interim Operational Data'!X33, "N/A")</f>
        <v>5.7246331583514198</v>
      </c>
      <c r="Y59" s="4">
        <f>IFERROR(Y19*100/'Interim Operational Data'!Y33, "N/A")</f>
        <v>7.44438605710282</v>
      </c>
    </row>
    <row r="60" spans="1:25" x14ac:dyDescent="0.3">
      <c r="A60" s="85" t="s">
        <v>0</v>
      </c>
      <c r="B60" s="2"/>
      <c r="C60" s="2" t="str">
        <f ca="1">IFERROR(IF(Inputs!$E$14 = "Semi-annual",(C59/OFFSET(C59,0,-2,,))-1,(C59/OFFSET(C59,0,-4,,))-1),"")</f>
        <v/>
      </c>
      <c r="D60" s="2" t="str">
        <f ca="1">IFERROR(IF(Inputs!$E$14 = "Semi-annual",(D59/OFFSET(D59,0,-2,,))-1,(D59/OFFSET(D59,0,-4,,))-1),"")</f>
        <v/>
      </c>
      <c r="E60" s="2" t="str">
        <f ca="1">IFERROR(IF(Inputs!$E$14 = "Semi-annual",(E59/OFFSET(E59,0,-2,,))-1,(E59/OFFSET(E59,0,-4,,))-1),"")</f>
        <v/>
      </c>
      <c r="F60" s="2">
        <f ca="1">IFERROR(IF(Inputs!$E$14 = "Semi-annual",(F59/OFFSET(F59,0,-2,,))-1,(F59/OFFSET(F59,0,-4,,))-1),"")</f>
        <v>-0.17347741570502462</v>
      </c>
      <c r="G60" s="2">
        <f ca="1">IFERROR(IF(Inputs!$E$14 = "Semi-annual",(G59/OFFSET(G59,0,-2,,))-1,(G59/OFFSET(G59,0,-4,,))-1),"")</f>
        <v>6.3699309919475589E-2</v>
      </c>
      <c r="H60" s="2">
        <f ca="1">IFERROR(IF(Inputs!$E$14 = "Semi-annual",(H59/OFFSET(H59,0,-2,,))-1,(H59/OFFSET(H59,0,-4,,))-1),"")</f>
        <v>0.14789638077691714</v>
      </c>
      <c r="I60" s="2">
        <f ca="1">IFERROR(IF(Inputs!$E$14 = "Semi-annual",(I59/OFFSET(I59,0,-2,,))-1,(I59/OFFSET(I59,0,-4,,))-1),"")</f>
        <v>-0.29241706968441716</v>
      </c>
      <c r="J60" s="2">
        <f ca="1">IFERROR(IF(Inputs!$E$14 = "Semi-annual",(J59/OFFSET(J59,0,-2,,))-1,(J59/OFFSET(J59,0,-4,,))-1),"")</f>
        <v>5.5134647786417856E-2</v>
      </c>
      <c r="K60" s="2">
        <f ca="1">IFERROR(IF(Inputs!$E$14 = "Semi-annual",(K59/OFFSET(K59,0,-2,,))-1,(K59/OFFSET(K59,0,-4,,))-1),"")</f>
        <v>-6.6919091540078357E-2</v>
      </c>
      <c r="L60" s="2">
        <f ca="1">IFERROR(IF(Inputs!$E$14 = "Semi-annual",(L59/OFFSET(L59,0,-2,,))-1,(L59/OFFSET(L59,0,-4,,))-1),"")</f>
        <v>-8.1609739714815555E-2</v>
      </c>
      <c r="M60" s="2">
        <f ca="1">IFERROR(IF(Inputs!$E$14 = "Semi-annual",(M59/OFFSET(M59,0,-2,,))-1,(M59/OFFSET(M59,0,-4,,))-1),"")</f>
        <v>-2.8061290928800053E-2</v>
      </c>
      <c r="N60" s="2">
        <f ca="1">IFERROR(IF(Inputs!$E$14 = "Semi-annual",(N59/OFFSET(N59,0,-2,,))-1,(N59/OFFSET(N59,0,-4,,))-1),"")</f>
        <v>5.8929731418421838E-2</v>
      </c>
      <c r="O60" s="2">
        <f ca="1">IFERROR(IF(Inputs!$E$14 = "Semi-annual",(O59/OFFSET(O59,0,-2,,))-1,(O59/OFFSET(O59,0,-4,,))-1),"")</f>
        <v>7.7897028519334999E-2</v>
      </c>
      <c r="P60" s="2">
        <f ca="1">IFERROR(IF(Inputs!$E$14 = "Semi-annual",(P59/OFFSET(P59,0,-2,,))-1,(P59/OFFSET(P59,0,-4,,))-1),"")</f>
        <v>-4.1856691948668923E-2</v>
      </c>
      <c r="Q60" s="2">
        <f ca="1">IFERROR(IF(Inputs!$E$14 = "Semi-annual",(Q59/OFFSET(Q59,0,-2,,))-1,(Q59/OFFSET(Q59,0,-4,,))-1),"")</f>
        <v>0.11100660043531274</v>
      </c>
      <c r="R60" s="2">
        <f ca="1">IFERROR(IF(Inputs!$E$14 = "Semi-annual",(R59/OFFSET(R59,0,-2,,))-1,(R59/OFFSET(R59,0,-4,,))-1),"")</f>
        <v>-0.1100266888707977</v>
      </c>
      <c r="S60" s="2">
        <f ca="1">IFERROR(IF(Inputs!$E$14 = "Semi-annual",(S59/OFFSET(S59,0,-2,,))-1,(S59/OFFSET(S59,0,-4,,))-1),"")</f>
        <v>-8.506366866139714E-2</v>
      </c>
      <c r="T60" s="2">
        <f ca="1">IFERROR(IF(Inputs!$E$14 = "Semi-annual",(T59/OFFSET(T59,0,-2,,))-1,(T59/OFFSET(T59,0,-4,,))-1),"")</f>
        <v>0.15796594324290947</v>
      </c>
      <c r="U60" s="2">
        <f ca="1">IFERROR(IF(Inputs!$E$14 = "Semi-annual",(U59/OFFSET(U59,0,-2,,))-1,(U59/OFFSET(U59,0,-4,,))-1),"")</f>
        <v>-0.20046658639570303</v>
      </c>
      <c r="V60" s="2">
        <f ca="1">IFERROR(IF(Inputs!$E$14 = "Semi-annual",(V59/OFFSET(V59,0,-2,,))-1,(V59/OFFSET(V59,0,-4,,))-1),"")</f>
        <v>-2.3849670611200136E-3</v>
      </c>
      <c r="W60" s="2">
        <f ca="1">IFERROR(IF(Inputs!$E$14 = "Semi-annual",(W59/OFFSET(W59,0,-2,,))-1,(W59/OFFSET(W59,0,-4,,))-1),"")</f>
        <v>2.7864387609173678</v>
      </c>
      <c r="X60" s="2">
        <f ca="1">IFERROR(IF(Inputs!$E$14 = "Semi-annual",(X59/OFFSET(X59,0,-2,,))-1,(X59/OFFSET(X59,0,-4,,))-1),"")</f>
        <v>1.0393040022517503</v>
      </c>
      <c r="Y60" s="2">
        <f ca="1">IFERROR(IF(Inputs!$E$14 = "Semi-annual",(Y59/OFFSET(Y59,0,-2,,))-1,(Y59/OFFSET(Y59,0,-4,,))-1),"")</f>
        <v>1.404892773030157</v>
      </c>
    </row>
    <row r="61" spans="1:25" x14ac:dyDescent="0.3">
      <c r="A61" s="85" t="str">
        <f>("Non-aircraft rental [IS] per " &amp; 'Annual Operational Data'!$A$33 &amp; " [cents]")</f>
        <v>Non-aircraft rental [IS] per ASMs [cents]</v>
      </c>
      <c r="B61" s="4">
        <f>IFERROR(B21*100/'Interim Operational Data'!B33, "N/A")</f>
        <v>0</v>
      </c>
      <c r="C61" s="4">
        <f>IFERROR(C21*100/'Interim Operational Data'!C33, "N/A")</f>
        <v>0</v>
      </c>
      <c r="D61" s="4">
        <f>IFERROR(D21*100/'Interim Operational Data'!D33, "N/A")</f>
        <v>0</v>
      </c>
      <c r="E61" s="4">
        <f>IFERROR(E21*100/'Interim Operational Data'!E33, "N/A")</f>
        <v>0</v>
      </c>
      <c r="F61" s="4">
        <f>IFERROR(F21*100/'Interim Operational Data'!F33, "N/A")</f>
        <v>0</v>
      </c>
      <c r="G61" s="4">
        <f>IFERROR(G21*100/'Interim Operational Data'!G33, "N/A")</f>
        <v>0</v>
      </c>
      <c r="H61" s="4">
        <f>IFERROR(H21*100/'Interim Operational Data'!H33, "N/A")</f>
        <v>0</v>
      </c>
      <c r="I61" s="4">
        <f>IFERROR(I21*100/'Interim Operational Data'!I33, "N/A")</f>
        <v>0</v>
      </c>
      <c r="J61" s="4">
        <f>IFERROR(J21*100/'Interim Operational Data'!J33, "N/A")</f>
        <v>0</v>
      </c>
      <c r="K61" s="4">
        <f>IFERROR(K21*100/'Interim Operational Data'!K33, "N/A")</f>
        <v>0</v>
      </c>
      <c r="L61" s="4">
        <f>IFERROR(L21*100/'Interim Operational Data'!L33, "N/A")</f>
        <v>0</v>
      </c>
      <c r="M61" s="4">
        <f>IFERROR(M21*100/'Interim Operational Data'!M33, "N/A")</f>
        <v>0</v>
      </c>
      <c r="N61" s="4">
        <f>IFERROR(N21*100/'Interim Operational Data'!N33, "N/A")</f>
        <v>0</v>
      </c>
      <c r="O61" s="4">
        <f>IFERROR(O21*100/'Interim Operational Data'!O33, "N/A")</f>
        <v>0</v>
      </c>
      <c r="P61" s="4">
        <f>IFERROR(P21*100/'Interim Operational Data'!P33, "N/A")</f>
        <v>0</v>
      </c>
      <c r="Q61" s="4">
        <f>IFERROR(Q21*100/'Interim Operational Data'!Q33, "N/A")</f>
        <v>0</v>
      </c>
      <c r="R61" s="4">
        <f>IFERROR(R21*100/'Interim Operational Data'!R33, "N/A")</f>
        <v>0</v>
      </c>
      <c r="S61" s="4">
        <f>IFERROR(S21*100/'Interim Operational Data'!S33, "N/A")</f>
        <v>0</v>
      </c>
      <c r="T61" s="4">
        <f>IFERROR(T21*100/'Interim Operational Data'!T33, "N/A")</f>
        <v>0</v>
      </c>
      <c r="U61" s="4">
        <f>IFERROR(U21*100/'Interim Operational Data'!U33, "N/A")</f>
        <v>0</v>
      </c>
      <c r="V61" s="4">
        <f>IFERROR(V21*100/'Interim Operational Data'!V33, "N/A")</f>
        <v>0</v>
      </c>
      <c r="W61" s="4">
        <f>IFERROR(W21*100/'Interim Operational Data'!W33, "N/A")</f>
        <v>0</v>
      </c>
      <c r="X61" s="4">
        <f>IFERROR(X21*100/'Interim Operational Data'!X33, "N/A")</f>
        <v>0</v>
      </c>
      <c r="Y61" s="4">
        <f>IFERROR(Y21*100/'Interim Operational Data'!Y33, "N/A")</f>
        <v>0</v>
      </c>
    </row>
    <row r="62" spans="1:25" x14ac:dyDescent="0.3">
      <c r="A62" s="85" t="s">
        <v>0</v>
      </c>
      <c r="B62" s="2"/>
      <c r="C62" s="2" t="str">
        <f ca="1">IFERROR(IF(Inputs!$E$14 = "Semi-annual",(C61/OFFSET(C61,0,-2,,))-1,(C61/OFFSET(C61,0,-4,,))-1),"")</f>
        <v/>
      </c>
      <c r="D62" s="2" t="str">
        <f ca="1">IFERROR(IF(Inputs!$E$14 = "Semi-annual",(D61/OFFSET(D61,0,-2,,))-1,(D61/OFFSET(D61,0,-4,,))-1),"")</f>
        <v/>
      </c>
      <c r="E62" s="2" t="str">
        <f ca="1">IFERROR(IF(Inputs!$E$14 = "Semi-annual",(E61/OFFSET(E61,0,-2,,))-1,(E61/OFFSET(E61,0,-4,,))-1),"")</f>
        <v/>
      </c>
      <c r="F62" s="2" t="str">
        <f ca="1">IFERROR(IF(Inputs!$E$14 = "Semi-annual",(F61/OFFSET(F61,0,-2,,))-1,(F61/OFFSET(F61,0,-4,,))-1),"")</f>
        <v/>
      </c>
      <c r="G62" s="2" t="str">
        <f ca="1">IFERROR(IF(Inputs!$E$14 = "Semi-annual",(G61/OFFSET(G61,0,-2,,))-1,(G61/OFFSET(G61,0,-4,,))-1),"")</f>
        <v/>
      </c>
      <c r="H62" s="2" t="str">
        <f ca="1">IFERROR(IF(Inputs!$E$14 = "Semi-annual",(H61/OFFSET(H61,0,-2,,))-1,(H61/OFFSET(H61,0,-4,,))-1),"")</f>
        <v/>
      </c>
      <c r="I62" s="2" t="str">
        <f ca="1">IFERROR(IF(Inputs!$E$14 = "Semi-annual",(I61/OFFSET(I61,0,-2,,))-1,(I61/OFFSET(I61,0,-4,,))-1),"")</f>
        <v/>
      </c>
      <c r="J62" s="2" t="str">
        <f ca="1">IFERROR(IF(Inputs!$E$14 = "Semi-annual",(J61/OFFSET(J61,0,-2,,))-1,(J61/OFFSET(J61,0,-4,,))-1),"")</f>
        <v/>
      </c>
      <c r="K62" s="2" t="str">
        <f ca="1">IFERROR(IF(Inputs!$E$14 = "Semi-annual",(K61/OFFSET(K61,0,-2,,))-1,(K61/OFFSET(K61,0,-4,,))-1),"")</f>
        <v/>
      </c>
      <c r="L62" s="2" t="str">
        <f ca="1">IFERROR(IF(Inputs!$E$14 = "Semi-annual",(L61/OFFSET(L61,0,-2,,))-1,(L61/OFFSET(L61,0,-4,,))-1),"")</f>
        <v/>
      </c>
      <c r="M62" s="2" t="str">
        <f ca="1">IFERROR(IF(Inputs!$E$14 = "Semi-annual",(M61/OFFSET(M61,0,-2,,))-1,(M61/OFFSET(M61,0,-4,,))-1),"")</f>
        <v/>
      </c>
      <c r="N62" s="2" t="str">
        <f ca="1">IFERROR(IF(Inputs!$E$14 = "Semi-annual",(N61/OFFSET(N61,0,-2,,))-1,(N61/OFFSET(N61,0,-4,,))-1),"")</f>
        <v/>
      </c>
      <c r="O62" s="2" t="str">
        <f ca="1">IFERROR(IF(Inputs!$E$14 = "Semi-annual",(O61/OFFSET(O61,0,-2,,))-1,(O61/OFFSET(O61,0,-4,,))-1),"")</f>
        <v/>
      </c>
      <c r="P62" s="2" t="str">
        <f ca="1">IFERROR(IF(Inputs!$E$14 = "Semi-annual",(P61/OFFSET(P61,0,-2,,))-1,(P61/OFFSET(P61,0,-4,,))-1),"")</f>
        <v/>
      </c>
      <c r="Q62" s="2" t="str">
        <f ca="1">IFERROR(IF(Inputs!$E$14 = "Semi-annual",(Q61/OFFSET(Q61,0,-2,,))-1,(Q61/OFFSET(Q61,0,-4,,))-1),"")</f>
        <v/>
      </c>
      <c r="R62" s="2" t="str">
        <f ca="1">IFERROR(IF(Inputs!$E$14 = "Semi-annual",(R61/OFFSET(R61,0,-2,,))-1,(R61/OFFSET(R61,0,-4,,))-1),"")</f>
        <v/>
      </c>
      <c r="S62" s="2" t="str">
        <f ca="1">IFERROR(IF(Inputs!$E$14 = "Semi-annual",(S61/OFFSET(S61,0,-2,,))-1,(S61/OFFSET(S61,0,-4,,))-1),"")</f>
        <v/>
      </c>
      <c r="T62" s="2" t="str">
        <f ca="1">IFERROR(IF(Inputs!$E$14 = "Semi-annual",(T61/OFFSET(T61,0,-2,,))-1,(T61/OFFSET(T61,0,-4,,))-1),"")</f>
        <v/>
      </c>
      <c r="U62" s="2" t="str">
        <f ca="1">IFERROR(IF(Inputs!$E$14 = "Semi-annual",(U61/OFFSET(U61,0,-2,,))-1,(U61/OFFSET(U61,0,-4,,))-1),"")</f>
        <v/>
      </c>
      <c r="V62" s="2" t="str">
        <f ca="1">IFERROR(IF(Inputs!$E$14 = "Semi-annual",(V61/OFFSET(V61,0,-2,,))-1,(V61/OFFSET(V61,0,-4,,))-1),"")</f>
        <v/>
      </c>
      <c r="W62" s="2" t="str">
        <f ca="1">IFERROR(IF(Inputs!$E$14 = "Semi-annual",(W61/OFFSET(W61,0,-2,,))-1,(W61/OFFSET(W61,0,-4,,))-1),"")</f>
        <v/>
      </c>
      <c r="X62" s="2" t="str">
        <f ca="1">IFERROR(IF(Inputs!$E$14 = "Semi-annual",(X61/OFFSET(X61,0,-2,,))-1,(X61/OFFSET(X61,0,-4,,))-1),"")</f>
        <v/>
      </c>
      <c r="Y62" s="2" t="str">
        <f ca="1">IFERROR(IF(Inputs!$E$14 = "Semi-annual",(Y61/OFFSET(Y61,0,-2,,))-1,(Y61/OFFSET(Y61,0,-4,,))-1),"")</f>
        <v/>
      </c>
    </row>
    <row r="63" spans="1:25" x14ac:dyDescent="0.3">
      <c r="A63" s="85" t="str">
        <f>("Charter &amp; capacity hire per " &amp; 'Annual Operational Data'!$A$33 &amp; " [cents]")</f>
        <v>Charter &amp; capacity hire per ASMs [cents]</v>
      </c>
      <c r="B63" s="4">
        <f>IFERROR(B23*100/'Interim Operational Data'!B33, "N/A")</f>
        <v>2.431206057175479</v>
      </c>
      <c r="C63" s="4">
        <f>IFERROR(C23*100/'Interim Operational Data'!C33, "N/A")</f>
        <v>2.3994458065460051</v>
      </c>
      <c r="D63" s="4">
        <f>IFERROR(D23*100/'Interim Operational Data'!D33, "N/A")</f>
        <v>1.8991792747170611</v>
      </c>
      <c r="E63" s="4">
        <f>IFERROR(E23*100/'Interim Operational Data'!E33, "N/A")</f>
        <v>2.1801448841214159</v>
      </c>
      <c r="F63" s="4">
        <f>IFERROR(F23*100/'Interim Operational Data'!F33, "N/A")</f>
        <v>2.0878647129919909</v>
      </c>
      <c r="G63" s="4">
        <f>IFERROR(G23*100/'Interim Operational Data'!G33, "N/A")</f>
        <v>2.0069547635368536</v>
      </c>
      <c r="H63" s="4">
        <f>IFERROR(H23*100/'Interim Operational Data'!H33, "N/A")</f>
        <v>1.7225114836565418</v>
      </c>
      <c r="I63" s="4">
        <f>IFERROR(I23*100/'Interim Operational Data'!I33, "N/A")</f>
        <v>2.1098735654873804</v>
      </c>
      <c r="J63" s="4">
        <f>IFERROR(J23*100/'Interim Operational Data'!J33, "N/A")</f>
        <v>2.0854475382692228</v>
      </c>
      <c r="K63" s="4">
        <f>IFERROR(K23*100/'Interim Operational Data'!K33, "N/A")</f>
        <v>1.8971843763704632</v>
      </c>
      <c r="L63" s="4">
        <f>IFERROR(L23*100/'Interim Operational Data'!L33, "N/A")</f>
        <v>1.4204577927406183</v>
      </c>
      <c r="M63" s="4">
        <f>IFERROR(M23*100/'Interim Operational Data'!M33, "N/A")</f>
        <v>2.105206597261704</v>
      </c>
      <c r="N63" s="4">
        <f>IFERROR(N23*100/'Interim Operational Data'!N33, "N/A")</f>
        <v>2.1477812025064953</v>
      </c>
      <c r="O63" s="4">
        <f>IFERROR(O23*100/'Interim Operational Data'!O33, "N/A")</f>
        <v>2.1080638450176865</v>
      </c>
      <c r="P63" s="4">
        <f>IFERROR(P23*100/'Interim Operational Data'!P33, "N/A")</f>
        <v>1.3113811604996295</v>
      </c>
      <c r="Q63" s="4">
        <f>IFERROR(Q23*100/'Interim Operational Data'!Q33, "N/A")</f>
        <v>2.5347651469401882</v>
      </c>
      <c r="R63" s="4">
        <f>IFERROR(R23*100/'Interim Operational Data'!R33, "N/A")</f>
        <v>1.7170404045753036</v>
      </c>
      <c r="S63" s="4">
        <f>IFERROR(S23*100/'Interim Operational Data'!S33, "N/A")</f>
        <v>1.6177331587212205</v>
      </c>
      <c r="T63" s="4">
        <f>IFERROR(T23*100/'Interim Operational Data'!T33, "N/A")</f>
        <v>1.4747457088358693</v>
      </c>
      <c r="U63" s="4">
        <f>IFERROR(U23*100/'Interim Operational Data'!U33, "N/A")</f>
        <v>1.7512599852835846</v>
      </c>
      <c r="V63" s="4">
        <f>IFERROR(V23*100/'Interim Operational Data'!V33, "N/A")</f>
        <v>1.4931248113223612</v>
      </c>
      <c r="W63" s="4">
        <f>IFERROR(W23*100/'Interim Operational Data'!W33, "N/A")</f>
        <v>5.5294853786463927</v>
      </c>
      <c r="X63" s="4">
        <f>IFERROR(X23*100/'Interim Operational Data'!X33, "N/A")</f>
        <v>2.4748414090689552</v>
      </c>
      <c r="Y63" s="4">
        <f>IFERROR(Y23*100/'Interim Operational Data'!Y33, "N/A")</f>
        <v>3.0653354352776319</v>
      </c>
    </row>
    <row r="64" spans="1:25" x14ac:dyDescent="0.3">
      <c r="A64" s="85" t="s">
        <v>0</v>
      </c>
      <c r="B64" s="2"/>
      <c r="C64" s="2" t="str">
        <f ca="1">IFERROR(IF(Inputs!$E$14 = "Semi-annual",(C63/OFFSET(C63,0,-2,,))-1,(C63/OFFSET(C63,0,-4,,))-1),"")</f>
        <v/>
      </c>
      <c r="D64" s="2" t="str">
        <f ca="1">IFERROR(IF(Inputs!$E$14 = "Semi-annual",(D63/OFFSET(D63,0,-2,,))-1,(D63/OFFSET(D63,0,-4,,))-1),"")</f>
        <v/>
      </c>
      <c r="E64" s="2" t="str">
        <f ca="1">IFERROR(IF(Inputs!$E$14 = "Semi-annual",(E63/OFFSET(E63,0,-2,,))-1,(E63/OFFSET(E63,0,-4,,))-1),"")</f>
        <v/>
      </c>
      <c r="F64" s="2">
        <f ca="1">IFERROR(IF(Inputs!$E$14 = "Semi-annual",(F63/OFFSET(F63,0,-2,,))-1,(F63/OFFSET(F63,0,-4,,))-1),"")</f>
        <v>-0.1412226426345673</v>
      </c>
      <c r="G64" s="2">
        <f ca="1">IFERROR(IF(Inputs!$E$14 = "Semi-annual",(G63/OFFSET(G63,0,-2,,))-1,(G63/OFFSET(G63,0,-4,,))-1),"")</f>
        <v>-0.16357570649788555</v>
      </c>
      <c r="H64" s="2">
        <f ca="1">IFERROR(IF(Inputs!$E$14 = "Semi-annual",(H63/OFFSET(H63,0,-2,,))-1,(H63/OFFSET(H63,0,-4,,))-1),"")</f>
        <v>-9.3023230303963311E-2</v>
      </c>
      <c r="I64" s="2">
        <f ca="1">IFERROR(IF(Inputs!$E$14 = "Semi-annual",(I63/OFFSET(I63,0,-2,,))-1,(I63/OFFSET(I63,0,-4,,))-1),"")</f>
        <v>-3.2232407646776373E-2</v>
      </c>
      <c r="J64" s="2">
        <f ca="1">IFERROR(IF(Inputs!$E$14 = "Semi-annual",(J63/OFFSET(J63,0,-2,,))-1,(J63/OFFSET(J63,0,-4,,))-1),"")</f>
        <v>-1.1577257413888375E-3</v>
      </c>
      <c r="K64" s="2">
        <f ca="1">IFERROR(IF(Inputs!$E$14 = "Semi-annual",(K63/OFFSET(K63,0,-2,,))-1,(K63/OFFSET(K63,0,-4,,))-1),"")</f>
        <v>-5.4694998193652422E-2</v>
      </c>
      <c r="L64" s="2">
        <f ca="1">IFERROR(IF(Inputs!$E$14 = "Semi-annual",(L63/OFFSET(L63,0,-2,,))-1,(L63/OFFSET(L63,0,-4,,))-1),"")</f>
        <v>-0.1753565614986351</v>
      </c>
      <c r="M64" s="2">
        <f ca="1">IFERROR(IF(Inputs!$E$14 = "Semi-annual",(M63/OFFSET(M63,0,-2,,))-1,(M63/OFFSET(M63,0,-4,,))-1),"")</f>
        <v>-2.2119658267760745E-3</v>
      </c>
      <c r="N64" s="2">
        <f ca="1">IFERROR(IF(Inputs!$E$14 = "Semi-annual",(N63/OFFSET(N63,0,-2,,))-1,(N63/OFFSET(N63,0,-4,,))-1),"")</f>
        <v>2.9889826089322336E-2</v>
      </c>
      <c r="O64" s="2">
        <f ca="1">IFERROR(IF(Inputs!$E$14 = "Semi-annual",(O63/OFFSET(O63,0,-2,,))-1,(O63/OFFSET(O63,0,-4,,))-1),"")</f>
        <v>0.11115391380708095</v>
      </c>
      <c r="P64" s="2">
        <f ca="1">IFERROR(IF(Inputs!$E$14 = "Semi-annual",(P63/OFFSET(P63,0,-2,,))-1,(P63/OFFSET(P63,0,-4,,))-1),"")</f>
        <v>-7.6789773549369222E-2</v>
      </c>
      <c r="Q64" s="2">
        <f ca="1">IFERROR(IF(Inputs!$E$14 = "Semi-annual",(Q63/OFFSET(Q63,0,-2,,))-1,(Q63/OFFSET(Q63,0,-4,,))-1),"")</f>
        <v>0.20404579305291071</v>
      </c>
      <c r="R64" s="2">
        <f ca="1">IFERROR(IF(Inputs!$E$14 = "Semi-annual",(R63/OFFSET(R63,0,-2,,))-1,(R63/OFFSET(R63,0,-4,,))-1),"")</f>
        <v>-0.2005515261184474</v>
      </c>
      <c r="S64" s="2">
        <f ca="1">IFERROR(IF(Inputs!$E$14 = "Semi-annual",(S63/OFFSET(S63,0,-2,,))-1,(S63/OFFSET(S63,0,-4,,))-1),"")</f>
        <v>-0.23259764520668591</v>
      </c>
      <c r="T64" s="2">
        <f ca="1">IFERROR(IF(Inputs!$E$14 = "Semi-annual",(T63/OFFSET(T63,0,-2,,))-1,(T63/OFFSET(T63,0,-4,,))-1),"")</f>
        <v>0.12457442066195212</v>
      </c>
      <c r="U64" s="2">
        <f ca="1">IFERROR(IF(Inputs!$E$14 = "Semi-annual",(U63/OFFSET(U63,0,-2,,))-1,(U63/OFFSET(U63,0,-4,,))-1),"")</f>
        <v>-0.30910365112223614</v>
      </c>
      <c r="V64" s="2">
        <f ca="1">IFERROR(IF(Inputs!$E$14 = "Semi-annual",(V63/OFFSET(V63,0,-2,,))-1,(V63/OFFSET(V63,0,-4,,))-1),"")</f>
        <v>-0.13040787663253983</v>
      </c>
      <c r="W64" s="2">
        <f ca="1">IFERROR(IF(Inputs!$E$14 = "Semi-annual",(W63/OFFSET(W63,0,-2,,))-1,(W63/OFFSET(W63,0,-4,,))-1),"")</f>
        <v>2.4180453981776076</v>
      </c>
      <c r="X64" s="2">
        <f ca="1">IFERROR(IF(Inputs!$E$14 = "Semi-annual",(X63/OFFSET(X63,0,-2,,))-1,(X63/OFFSET(X63,0,-4,,))-1),"")</f>
        <v>0.67814789644144047</v>
      </c>
      <c r="Y64" s="2">
        <f ca="1">IFERROR(IF(Inputs!$E$14 = "Semi-annual",(Y63/OFFSET(Y63,0,-2,,))-1,(Y63/OFFSET(Y63,0,-4,,))-1),"")</f>
        <v>0.75036000424646065</v>
      </c>
    </row>
    <row r="65" spans="1:25" x14ac:dyDescent="0.3">
      <c r="A65" s="85" t="str">
        <f>("Other operating expenses per " &amp; 'Annual Operational Data'!$A$33 &amp; " [cents]")</f>
        <v>Other operating expenses per ASMs [cents]</v>
      </c>
      <c r="B65" s="4">
        <f>IFERROR(B25*100/'Interim Operational Data'!B33, "N/A")</f>
        <v>1.4622471213446722</v>
      </c>
      <c r="C65" s="4">
        <f>IFERROR(C25*100/'Interim Operational Data'!C33, "N/A")</f>
        <v>0.66247325298576565</v>
      </c>
      <c r="D65" s="4">
        <f>IFERROR(D25*100/'Interim Operational Data'!D33, "N/A")</f>
        <v>0.50081097312744416</v>
      </c>
      <c r="E65" s="4">
        <f>IFERROR(E25*100/'Interim Operational Data'!E33, "N/A")</f>
        <v>2.8870042454576854</v>
      </c>
      <c r="F65" s="4">
        <f>IFERROR(F25*100/'Interim Operational Data'!F33, "N/A")</f>
        <v>1.1301622699499705</v>
      </c>
      <c r="G65" s="4">
        <f>IFERROR(G25*100/'Interim Operational Data'!G33, "N/A")</f>
        <v>1.2500064271163795</v>
      </c>
      <c r="H65" s="4">
        <f>IFERROR(H25*100/'Interim Operational Data'!H33, "N/A")</f>
        <v>1.032428635744062</v>
      </c>
      <c r="I65" s="4">
        <f>IFERROR(I25*100/'Interim Operational Data'!I33, "N/A")</f>
        <v>1.4755546639662547</v>
      </c>
      <c r="J65" s="4">
        <f>IFERROR(J25*100/'Interim Operational Data'!J33, "N/A")</f>
        <v>1.3100042289444327</v>
      </c>
      <c r="K65" s="4">
        <f>IFERROR(K25*100/'Interim Operational Data'!K33, "N/A")</f>
        <v>1.141823930222964</v>
      </c>
      <c r="L65" s="4">
        <f>IFERROR(L25*100/'Interim Operational Data'!L33, "N/A")</f>
        <v>1.1096523805857994</v>
      </c>
      <c r="M65" s="4">
        <f>IFERROR(M25*100/'Interim Operational Data'!M33, "N/A")</f>
        <v>1.3796098875409002</v>
      </c>
      <c r="N65" s="4">
        <f>IFERROR(N25*100/'Interim Operational Data'!N33, "N/A")</f>
        <v>1.4477636253932673</v>
      </c>
      <c r="O65" s="4">
        <f>IFERROR(O25*100/'Interim Operational Data'!O33, "N/A")</f>
        <v>1.1676741783049449</v>
      </c>
      <c r="P65" s="4">
        <f>IFERROR(P25*100/'Interim Operational Data'!P33, "N/A")</f>
        <v>1.1128269707056713</v>
      </c>
      <c r="Q65" s="4">
        <f>IFERROR(Q25*100/'Interim Operational Data'!Q33, "N/A")</f>
        <v>1.3368889689812895</v>
      </c>
      <c r="R65" s="4">
        <f>IFERROR(R25*100/'Interim Operational Data'!R33, "N/A")</f>
        <v>1.4828985312241258</v>
      </c>
      <c r="S65" s="4">
        <f>IFERROR(S25*100/'Interim Operational Data'!S33, "N/A")</f>
        <v>1.3793585707639546</v>
      </c>
      <c r="T65" s="4">
        <f>IFERROR(T25*100/'Interim Operational Data'!T33, "N/A")</f>
        <v>1.3324047464324074</v>
      </c>
      <c r="U65" s="4">
        <f>IFERROR(U25*100/'Interim Operational Data'!U33, "N/A")</f>
        <v>1.344256846314241</v>
      </c>
      <c r="V65" s="4">
        <f>IFERROR(V25*100/'Interim Operational Data'!V33, "N/A")</f>
        <v>1.6991823755175917</v>
      </c>
      <c r="W65" s="4">
        <f>IFERROR(W25*100/'Interim Operational Data'!W33, "N/A")</f>
        <v>5.8188189159011463</v>
      </c>
      <c r="X65" s="4">
        <f>IFERROR(X25*100/'Interim Operational Data'!X33, "N/A")</f>
        <v>3.2497917492824659</v>
      </c>
      <c r="Y65" s="4">
        <f>IFERROR(Y25*100/'Interim Operational Data'!Y33, "N/A")</f>
        <v>4.3790506218251881</v>
      </c>
    </row>
    <row r="66" spans="1:25" x14ac:dyDescent="0.3">
      <c r="A66" s="85" t="s">
        <v>0</v>
      </c>
      <c r="B66" s="2"/>
      <c r="C66" s="2" t="str">
        <f ca="1">IFERROR(IF(Inputs!$E$14 = "Semi-annual",(C65/OFFSET(C65,0,-2,,))-1,(C65/OFFSET(C65,0,-4,,))-1),"")</f>
        <v/>
      </c>
      <c r="D66" s="2" t="str">
        <f ca="1">IFERROR(IF(Inputs!$E$14 = "Semi-annual",(D65/OFFSET(D65,0,-2,,))-1,(D65/OFFSET(D65,0,-4,,))-1),"")</f>
        <v/>
      </c>
      <c r="E66" s="2" t="str">
        <f ca="1">IFERROR(IF(Inputs!$E$14 = "Semi-annual",(E65/OFFSET(E65,0,-2,,))-1,(E65/OFFSET(E65,0,-4,,))-1),"")</f>
        <v/>
      </c>
      <c r="F66" s="2">
        <f ca="1">IFERROR(IF(Inputs!$E$14 = "Semi-annual",(F65/OFFSET(F65,0,-2,,))-1,(F65/OFFSET(F65,0,-4,,))-1),"")</f>
        <v>-0.22710583358120673</v>
      </c>
      <c r="G66" s="2">
        <f ca="1">IFERROR(IF(Inputs!$E$14 = "Semi-annual",(G65/OFFSET(G65,0,-2,,))-1,(G65/OFFSET(G65,0,-4,,))-1),"")</f>
        <v>0.88687833279698913</v>
      </c>
      <c r="H66" s="2">
        <f ca="1">IFERROR(IF(Inputs!$E$14 = "Semi-annual",(H65/OFFSET(H65,0,-2,,))-1,(H65/OFFSET(H65,0,-4,,))-1),"")</f>
        <v>1.0615136072135027</v>
      </c>
      <c r="I66" s="2">
        <f ca="1">IFERROR(IF(Inputs!$E$14 = "Semi-annual",(I65/OFFSET(I65,0,-2,,))-1,(I65/OFFSET(I65,0,-4,,))-1),"")</f>
        <v>-0.48889764665644586</v>
      </c>
      <c r="J66" s="2">
        <f ca="1">IFERROR(IF(Inputs!$E$14 = "Semi-annual",(J65/OFFSET(J65,0,-2,,))-1,(J65/OFFSET(J65,0,-4,,))-1),"")</f>
        <v>0.15912932485564513</v>
      </c>
      <c r="K66" s="2">
        <f ca="1">IFERROR(IF(Inputs!$E$14 = "Semi-annual",(K65/OFFSET(K65,0,-2,,))-1,(K65/OFFSET(K65,0,-4,,))-1),"")</f>
        <v>-8.654555252406182E-2</v>
      </c>
      <c r="L66" s="2">
        <f ca="1">IFERROR(IF(Inputs!$E$14 = "Semi-annual",(L65/OFFSET(L65,0,-2,,))-1,(L65/OFFSET(L65,0,-4,,))-1),"")</f>
        <v>7.4798143104664039E-2</v>
      </c>
      <c r="M66" s="2">
        <f ca="1">IFERROR(IF(Inputs!$E$14 = "Semi-annual",(M65/OFFSET(M65,0,-2,,))-1,(M65/OFFSET(M65,0,-4,,))-1),"")</f>
        <v>-6.5022854637900918E-2</v>
      </c>
      <c r="N66" s="2">
        <f ca="1">IFERROR(IF(Inputs!$E$14 = "Semi-annual",(N65/OFFSET(N65,0,-2,,))-1,(N65/OFFSET(N65,0,-4,,))-1),"")</f>
        <v>0.10515950514132122</v>
      </c>
      <c r="O66" s="2">
        <f ca="1">IFERROR(IF(Inputs!$E$14 = "Semi-annual",(O65/OFFSET(O65,0,-2,,))-1,(O65/OFFSET(O65,0,-4,,))-1),"")</f>
        <v>2.2639434502772282E-2</v>
      </c>
      <c r="P66" s="2">
        <f ca="1">IFERROR(IF(Inputs!$E$14 = "Semi-annual",(P65/OFFSET(P65,0,-2,,))-1,(P65/OFFSET(P65,0,-4,,))-1),"")</f>
        <v>2.8608870448203483E-3</v>
      </c>
      <c r="Q66" s="2">
        <f ca="1">IFERROR(IF(Inputs!$E$14 = "Semi-annual",(Q65/OFFSET(Q65,0,-2,,))-1,(Q65/OFFSET(Q65,0,-4,,))-1),"")</f>
        <v>-3.0965941129748709E-2</v>
      </c>
      <c r="R66" s="2">
        <f ca="1">IFERROR(IF(Inputs!$E$14 = "Semi-annual",(R65/OFFSET(R65,0,-2,,))-1,(R65/OFFSET(R65,0,-4,,))-1),"")</f>
        <v>2.4268399353737369E-2</v>
      </c>
      <c r="S66" s="2">
        <f ca="1">IFERROR(IF(Inputs!$E$14 = "Semi-annual",(S65/OFFSET(S65,0,-2,,))-1,(S65/OFFSET(S65,0,-4,,))-1),"")</f>
        <v>0.18128720870260362</v>
      </c>
      <c r="T66" s="2">
        <f ca="1">IFERROR(IF(Inputs!$E$14 = "Semi-annual",(T65/OFFSET(T65,0,-2,,))-1,(T65/OFFSET(T65,0,-4,,))-1),"")</f>
        <v>0.19731528935490883</v>
      </c>
      <c r="U66" s="2">
        <f ca="1">IFERROR(IF(Inputs!$E$14 = "Semi-annual",(U65/OFFSET(U65,0,-2,,))-1,(U65/OFFSET(U65,0,-4,,))-1),"")</f>
        <v>5.5112111057105118E-3</v>
      </c>
      <c r="V66" s="2">
        <f ca="1">IFERROR(IF(Inputs!$E$14 = "Semi-annual",(V65/OFFSET(V65,0,-2,,))-1,(V65/OFFSET(V65,0,-4,,))-1),"")</f>
        <v>0.14585208612683997</v>
      </c>
      <c r="W66" s="2">
        <f ca="1">IFERROR(IF(Inputs!$E$14 = "Semi-annual",(W65/OFFSET(W65,0,-2,,))-1,(W65/OFFSET(W65,0,-4,,))-1),"")</f>
        <v>3.2184962193539031</v>
      </c>
      <c r="X66" s="2">
        <f ca="1">IFERROR(IF(Inputs!$E$14 = "Semi-annual",(X65/OFFSET(X65,0,-2,,))-1,(X65/OFFSET(X65,0,-4,,))-1),"")</f>
        <v>1.4390424591206057</v>
      </c>
      <c r="Y66" s="2">
        <f ca="1">IFERROR(IF(Inputs!$E$14 = "Semi-annual",(Y65/OFFSET(Y65,0,-2,,))-1,(Y65/OFFSET(Y65,0,-4,,))-1),"")</f>
        <v>2.2575996423837568</v>
      </c>
    </row>
    <row r="67" spans="1:25" x14ac:dyDescent="0.3">
      <c r="A67" s="85" t="str">
        <f>("Aircraft rental expense [IS] per " &amp; 'Annual Operational Data'!$A$33 &amp; " [cents]")</f>
        <v>Aircraft rental expense [IS] per ASMs [cents]</v>
      </c>
      <c r="B67" s="4">
        <f>IFERROR(B27*100/'Interim Operational Data'!B33, "N/A")</f>
        <v>0.36115742153693708</v>
      </c>
      <c r="C67" s="4">
        <f>IFERROR(C27*100/'Interim Operational Data'!C33, "N/A")</f>
        <v>0.33931556860246542</v>
      </c>
      <c r="D67" s="4">
        <f>IFERROR(D27*100/'Interim Operational Data'!D33, "N/A")</f>
        <v>0.28942971823599045</v>
      </c>
      <c r="E67" s="4">
        <f>IFERROR(E27*100/'Interim Operational Data'!E33, "N/A")</f>
        <v>0.38916976073569898</v>
      </c>
      <c r="F67" s="4">
        <f>IFERROR(F27*100/'Interim Operational Data'!F33, "N/A")</f>
        <v>0.41096809816362562</v>
      </c>
      <c r="G67" s="4">
        <f>IFERROR(G27*100/'Interim Operational Data'!G33, "N/A")</f>
        <v>0.38889088843620695</v>
      </c>
      <c r="H67" s="4">
        <f>IFERROR(H27*100/'Interim Operational Data'!H33, "N/A")</f>
        <v>0.31808506270965881</v>
      </c>
      <c r="I67" s="4">
        <f>IFERROR(I27*100/'Interim Operational Data'!I33, "N/A")</f>
        <v>0.40704956247344959</v>
      </c>
      <c r="J67" s="4">
        <f>IFERROR(J27*100/'Interim Operational Data'!J33, "N/A")</f>
        <v>0.40257056909627403</v>
      </c>
      <c r="K67" s="4">
        <f>IFERROR(K27*100/'Interim Operational Data'!K33, "N/A")</f>
        <v>0.38060797674098801</v>
      </c>
      <c r="L67" s="4">
        <f>IFERROR(L27*100/'Interim Operational Data'!L33, "N/A")</f>
        <v>0.32107997123431697</v>
      </c>
      <c r="M67" s="4">
        <f>IFERROR(M27*100/'Interim Operational Data'!M33, "N/A")</f>
        <v>0.40997840997677693</v>
      </c>
      <c r="N67" s="4">
        <f>IFERROR(N27*100/'Interim Operational Data'!N33, "N/A")</f>
        <v>0.397737259723425</v>
      </c>
      <c r="O67" s="4">
        <f>IFERROR(O27*100/'Interim Operational Data'!O33, "N/A")</f>
        <v>0.34944993657301271</v>
      </c>
      <c r="P67" s="4">
        <f>IFERROR(P27*100/'Interim Operational Data'!P33, "N/A")</f>
        <v>0.31630144188107256</v>
      </c>
      <c r="Q67" s="4">
        <f>IFERROR(Q27*100/'Interim Operational Data'!Q33, "N/A")</f>
        <v>0.39337662140378643</v>
      </c>
      <c r="R67" s="4">
        <f>IFERROR(R27*100/'Interim Operational Data'!R33, "N/A")</f>
        <v>0</v>
      </c>
      <c r="S67" s="4">
        <f>IFERROR(S27*100/'Interim Operational Data'!S33, "N/A")</f>
        <v>0</v>
      </c>
      <c r="T67" s="4">
        <f>IFERROR(T27*100/'Interim Operational Data'!T33, "N/A")</f>
        <v>0</v>
      </c>
      <c r="U67" s="4">
        <f>IFERROR(U27*100/'Interim Operational Data'!U33, "N/A")</f>
        <v>0</v>
      </c>
      <c r="V67" s="4">
        <f>IFERROR(V27*100/'Interim Operational Data'!V33, "N/A")</f>
        <v>0</v>
      </c>
      <c r="W67" s="4">
        <f>IFERROR(W27*100/'Interim Operational Data'!W33, "N/A")</f>
        <v>0</v>
      </c>
      <c r="X67" s="4">
        <f>IFERROR(X27*100/'Interim Operational Data'!X33, "N/A")</f>
        <v>0</v>
      </c>
      <c r="Y67" s="4">
        <f>IFERROR(Y27*100/'Interim Operational Data'!Y33, "N/A")</f>
        <v>0</v>
      </c>
    </row>
    <row r="68" spans="1:25" x14ac:dyDescent="0.3">
      <c r="A68" s="85" t="s">
        <v>0</v>
      </c>
      <c r="B68" s="2"/>
      <c r="C68" s="2" t="str">
        <f ca="1">IFERROR(IF(Inputs!$E$14 = "Semi-annual",(C67/OFFSET(C67,0,-2,,))-1,(C67/OFFSET(C67,0,-4,,))-1),"")</f>
        <v/>
      </c>
      <c r="D68" s="2" t="str">
        <f ca="1">IFERROR(IF(Inputs!$E$14 = "Semi-annual",(D67/OFFSET(D67,0,-2,,))-1,(D67/OFFSET(D67,0,-4,,))-1),"")</f>
        <v/>
      </c>
      <c r="E68" s="2" t="str">
        <f ca="1">IFERROR(IF(Inputs!$E$14 = "Semi-annual",(E67/OFFSET(E67,0,-2,,))-1,(E67/OFFSET(E67,0,-4,,))-1),"")</f>
        <v/>
      </c>
      <c r="F68" s="2">
        <f ca="1">IFERROR(IF(Inputs!$E$14 = "Semi-annual",(F67/OFFSET(F67,0,-2,,))-1,(F67/OFFSET(F67,0,-4,,))-1),"")</f>
        <v>0.13791957095804608</v>
      </c>
      <c r="G68" s="2">
        <f ca="1">IFERROR(IF(Inputs!$E$14 = "Semi-annual",(G67/OFFSET(G67,0,-2,,))-1,(G67/OFFSET(G67,0,-4,,))-1),"")</f>
        <v>0.14610387621743004</v>
      </c>
      <c r="H68" s="2">
        <f ca="1">IFERROR(IF(Inputs!$E$14 = "Semi-annual",(H67/OFFSET(H67,0,-2,,))-1,(H67/OFFSET(H67,0,-4,,))-1),"")</f>
        <v>9.9006227309055506E-2</v>
      </c>
      <c r="I68" s="2">
        <f ca="1">IFERROR(IF(Inputs!$E$14 = "Semi-annual",(I67/OFFSET(I67,0,-2,,))-1,(I67/OFFSET(I67,0,-4,,))-1),"")</f>
        <v>4.5943450755141058E-2</v>
      </c>
      <c r="J68" s="2">
        <f ca="1">IFERROR(IF(Inputs!$E$14 = "Semi-annual",(J67/OFFSET(J67,0,-2,,))-1,(J67/OFFSET(J67,0,-4,,))-1),"")</f>
        <v>-2.0433530254234333E-2</v>
      </c>
      <c r="K68" s="2">
        <f ca="1">IFERROR(IF(Inputs!$E$14 = "Semi-annual",(K67/OFFSET(K67,0,-2,,))-1,(K67/OFFSET(K67,0,-4,,))-1),"")</f>
        <v>-2.1298806275780513E-2</v>
      </c>
      <c r="L68" s="2">
        <f ca="1">IFERROR(IF(Inputs!$E$14 = "Semi-annual",(L67/OFFSET(L67,0,-2,,))-1,(L67/OFFSET(L67,0,-4,,))-1),"")</f>
        <v>9.4154327749487177E-3</v>
      </c>
      <c r="M68" s="2">
        <f ca="1">IFERROR(IF(Inputs!$E$14 = "Semi-annual",(M67/OFFSET(M67,0,-2,,))-1,(M67/OFFSET(M67,0,-4,,))-1),"")</f>
        <v>7.1953093022139036E-3</v>
      </c>
      <c r="N68" s="2">
        <f ca="1">IFERROR(IF(Inputs!$E$14 = "Semi-annual",(N67/OFFSET(N67,0,-2,,))-1,(N67/OFFSET(N67,0,-4,,))-1),"")</f>
        <v>-1.2006117048494858E-2</v>
      </c>
      <c r="O68" s="2">
        <f ca="1">IFERROR(IF(Inputs!$E$14 = "Semi-annual",(O67/OFFSET(O67,0,-2,,))-1,(O67/OFFSET(O67,0,-4,,))-1),"")</f>
        <v>-8.1863865373423383E-2</v>
      </c>
      <c r="P68" s="2">
        <f ca="1">IFERROR(IF(Inputs!$E$14 = "Semi-annual",(P67/OFFSET(P67,0,-2,,))-1,(P67/OFFSET(P67,0,-4,,))-1),"")</f>
        <v>-1.4882676533433337E-2</v>
      </c>
      <c r="Q68" s="2">
        <f ca="1">IFERROR(IF(Inputs!$E$14 = "Semi-annual",(Q67/OFFSET(Q67,0,-2,,))-1,(Q67/OFFSET(Q67,0,-4,,))-1),"")</f>
        <v>-4.0494299624048269E-2</v>
      </c>
      <c r="R68" s="2">
        <f ca="1">IFERROR(IF(Inputs!$E$14 = "Semi-annual",(R67/OFFSET(R67,0,-2,,))-1,(R67/OFFSET(R67,0,-4,,))-1),"")</f>
        <v>-1</v>
      </c>
      <c r="S68" s="2">
        <f ca="1">IFERROR(IF(Inputs!$E$14 = "Semi-annual",(S67/OFFSET(S67,0,-2,,))-1,(S67/OFFSET(S67,0,-4,,))-1),"")</f>
        <v>-1</v>
      </c>
      <c r="T68" s="2">
        <f ca="1">IFERROR(IF(Inputs!$E$14 = "Semi-annual",(T67/OFFSET(T67,0,-2,,))-1,(T67/OFFSET(T67,0,-4,,))-1),"")</f>
        <v>-1</v>
      </c>
      <c r="U68" s="2">
        <f ca="1">IFERROR(IF(Inputs!$E$14 = "Semi-annual",(U67/OFFSET(U67,0,-2,,))-1,(U67/OFFSET(U67,0,-4,,))-1),"")</f>
        <v>-1</v>
      </c>
      <c r="V68" s="2" t="str">
        <f ca="1">IFERROR(IF(Inputs!$E$14 = "Semi-annual",(V67/OFFSET(V67,0,-2,,))-1,(V67/OFFSET(V67,0,-4,,))-1),"")</f>
        <v/>
      </c>
      <c r="W68" s="2" t="str">
        <f ca="1">IFERROR(IF(Inputs!$E$14 = "Semi-annual",(W67/OFFSET(W67,0,-2,,))-1,(W67/OFFSET(W67,0,-4,,))-1),"")</f>
        <v/>
      </c>
      <c r="X68" s="2" t="str">
        <f ca="1">IFERROR(IF(Inputs!$E$14 = "Semi-annual",(X67/OFFSET(X67,0,-2,,))-1,(X67/OFFSET(X67,0,-4,,))-1),"")</f>
        <v/>
      </c>
      <c r="Y68" s="2" t="str">
        <f ca="1">IFERROR(IF(Inputs!$E$14 = "Semi-annual",(Y67/OFFSET(Y67,0,-2,,))-1,(Y67/OFFSET(Y67,0,-4,,))-1),"")</f>
        <v/>
      </c>
    </row>
    <row r="69" spans="1:25" x14ac:dyDescent="0.3">
      <c r="A69" s="85" t="str">
        <f>("Depreciation &amp; amortisation per " &amp; 'Annual Operational Data'!$A$33 &amp; " [cents]")</f>
        <v>Depreciation &amp; amortisation per ASMs [cents]</v>
      </c>
      <c r="B69" s="4">
        <f>IFERROR(B29*100/'Interim Operational Data'!B33, "N/A")</f>
        <v>0.67386689628233387</v>
      </c>
      <c r="C69" s="4">
        <f>IFERROR(C29*100/'Interim Operational Data'!C33, "N/A")</f>
        <v>0.7149863766980521</v>
      </c>
      <c r="D69" s="4">
        <f>IFERROR(D29*100/'Interim Operational Data'!D33, "N/A")</f>
        <v>0.53658318549369011</v>
      </c>
      <c r="E69" s="4">
        <f>IFERROR(E29*100/'Interim Operational Data'!E33, "N/A")</f>
        <v>0.63537920120114122</v>
      </c>
      <c r="F69" s="4">
        <f>IFERROR(F29*100/'Interim Operational Data'!F33, "N/A")</f>
        <v>0.66782315951589166</v>
      </c>
      <c r="G69" s="4">
        <f>IFERROR(G29*100/'Interim Operational Data'!G33, "N/A")</f>
        <v>0.70139249521530189</v>
      </c>
      <c r="H69" s="4">
        <f>IFERROR(H29*100/'Interim Operational Data'!H33, "N/A")</f>
        <v>0.59303994742478749</v>
      </c>
      <c r="I69" s="4">
        <f>IFERROR(I29*100/'Interim Operational Data'!I33, "N/A")</f>
        <v>0.71912089370309418</v>
      </c>
      <c r="J69" s="4">
        <f>IFERROR(J29*100/'Interim Operational Data'!J33, "N/A")</f>
        <v>0.75234499798320065</v>
      </c>
      <c r="K69" s="4">
        <f>IFERROR(K29*100/'Interim Operational Data'!K33, "N/A")</f>
        <v>0.70851638747168533</v>
      </c>
      <c r="L69" s="4">
        <f>IFERROR(L29*100/'Interim Operational Data'!L33, "N/A")</f>
        <v>0.61904218453976301</v>
      </c>
      <c r="M69" s="4">
        <f>IFERROR(M29*100/'Interim Operational Data'!M33, "N/A")</f>
        <v>0.7971802416215108</v>
      </c>
      <c r="N69" s="4">
        <f>IFERROR(N29*100/'Interim Operational Data'!N33, "N/A")</f>
        <v>0.84956678676923569</v>
      </c>
      <c r="O69" s="4">
        <f>IFERROR(O29*100/'Interim Operational Data'!O33, "N/A")</f>
        <v>0.7898136777829069</v>
      </c>
      <c r="P69" s="4">
        <f>IFERROR(P29*100/'Interim Operational Data'!P33, "N/A")</f>
        <v>0.6187502658695434</v>
      </c>
      <c r="Q69" s="4">
        <f>IFERROR(Q29*100/'Interim Operational Data'!Q33, "N/A")</f>
        <v>0.78971096176549616</v>
      </c>
      <c r="R69" s="4">
        <f>IFERROR(R29*100/'Interim Operational Data'!R33, "N/A")</f>
        <v>1.3181320277547786</v>
      </c>
      <c r="S69" s="4">
        <f>IFERROR(S29*100/'Interim Operational Data'!S33, "N/A")</f>
        <v>1.323112881470667</v>
      </c>
      <c r="T69" s="4">
        <f>IFERROR(T29*100/'Interim Operational Data'!T33, "N/A")</f>
        <v>1.2040645344292857</v>
      </c>
      <c r="U69" s="4">
        <f>IFERROR(U29*100/'Interim Operational Data'!U33, "N/A")</f>
        <v>1.4904340300285828</v>
      </c>
      <c r="V69" s="4">
        <f>IFERROR(V29*100/'Interim Operational Data'!V33, "N/A")</f>
        <v>1.5977386516060936</v>
      </c>
      <c r="W69" s="4">
        <f>IFERROR(W29*100/'Interim Operational Data'!W33, "N/A")</f>
        <v>15.656159182562753</v>
      </c>
      <c r="X69" s="4">
        <f>IFERROR(X29*100/'Interim Operational Data'!X33, "N/A")</f>
        <v>5.249663594994753</v>
      </c>
      <c r="Y69" s="4">
        <f>IFERROR(Y29*100/'Interim Operational Data'!Y33, "N/A")</f>
        <v>5.4800690638840921</v>
      </c>
    </row>
    <row r="70" spans="1:25" x14ac:dyDescent="0.3">
      <c r="A70" s="85" t="s">
        <v>0</v>
      </c>
      <c r="B70" s="2"/>
      <c r="C70" s="2" t="str">
        <f ca="1">IFERROR(IF(Inputs!$E$14 = "Semi-annual",(C69/OFFSET(C69,0,-2,,))-1,(C69/OFFSET(C69,0,-4,,))-1),"")</f>
        <v/>
      </c>
      <c r="D70" s="2" t="str">
        <f ca="1">IFERROR(IF(Inputs!$E$14 = "Semi-annual",(D69/OFFSET(D69,0,-2,,))-1,(D69/OFFSET(D69,0,-4,,))-1),"")</f>
        <v/>
      </c>
      <c r="E70" s="2" t="str">
        <f ca="1">IFERROR(IF(Inputs!$E$14 = "Semi-annual",(E69/OFFSET(E69,0,-2,,))-1,(E69/OFFSET(E69,0,-4,,))-1),"")</f>
        <v/>
      </c>
      <c r="F70" s="2">
        <f ca="1">IFERROR(IF(Inputs!$E$14 = "Semi-annual",(F69/OFFSET(F69,0,-2,,))-1,(F69/OFFSET(F69,0,-4,,))-1),"")</f>
        <v>-8.968739672159276E-3</v>
      </c>
      <c r="G70" s="2">
        <f ca="1">IFERROR(IF(Inputs!$E$14 = "Semi-annual",(G69/OFFSET(G69,0,-2,,))-1,(G69/OFFSET(G69,0,-4,,))-1),"")</f>
        <v>-1.901278391558936E-2</v>
      </c>
      <c r="H70" s="2">
        <f ca="1">IFERROR(IF(Inputs!$E$14 = "Semi-annual",(H69/OFFSET(H69,0,-2,,))-1,(H69/OFFSET(H69,0,-4,,))-1),"")</f>
        <v>0.10521530203961493</v>
      </c>
      <c r="I70" s="2">
        <f ca="1">IFERROR(IF(Inputs!$E$14 = "Semi-annual",(I69/OFFSET(I69,0,-2,,))-1,(I69/OFFSET(I69,0,-4,,))-1),"")</f>
        <v>0.13179797567129192</v>
      </c>
      <c r="J70" s="2">
        <f ca="1">IFERROR(IF(Inputs!$E$14 = "Semi-annual",(J69/OFFSET(J69,0,-2,,))-1,(J69/OFFSET(J69,0,-4,,))-1),"")</f>
        <v>0.12656320354115791</v>
      </c>
      <c r="K70" s="2">
        <f ca="1">IFERROR(IF(Inputs!$E$14 = "Semi-annual",(K69/OFFSET(K69,0,-2,,))-1,(K69/OFFSET(K69,0,-4,,))-1),"")</f>
        <v>1.0156784261281082E-2</v>
      </c>
      <c r="L70" s="2">
        <f ca="1">IFERROR(IF(Inputs!$E$14 = "Semi-annual",(L69/OFFSET(L69,0,-2,,))-1,(L69/OFFSET(L69,0,-4,,))-1),"")</f>
        <v>4.3845675536508866E-2</v>
      </c>
      <c r="M70" s="2">
        <f ca="1">IFERROR(IF(Inputs!$E$14 = "Semi-annual",(M69/OFFSET(M69,0,-2,,))-1,(M69/OFFSET(M69,0,-4,,))-1),"")</f>
        <v>0.10854829640180808</v>
      </c>
      <c r="N70" s="2">
        <f ca="1">IFERROR(IF(Inputs!$E$14 = "Semi-annual",(N69/OFFSET(N69,0,-2,,))-1,(N69/OFFSET(N69,0,-4,,))-1),"")</f>
        <v>0.12922500853552021</v>
      </c>
      <c r="O70" s="2">
        <f ca="1">IFERROR(IF(Inputs!$E$14 = "Semi-annual",(O69/OFFSET(O69,0,-2,,))-1,(O69/OFFSET(O69,0,-4,,))-1),"")</f>
        <v>0.11474299218586603</v>
      </c>
      <c r="P70" s="2">
        <f ca="1">IFERROR(IF(Inputs!$E$14 = "Semi-annual",(P69/OFFSET(P69,0,-2,,))-1,(P69/OFFSET(P69,0,-4,,))-1),"")</f>
        <v>-4.7156506860135394E-4</v>
      </c>
      <c r="Q70" s="2">
        <f ca="1">IFERROR(IF(Inputs!$E$14 = "Semi-annual",(Q69/OFFSET(Q69,0,-2,,))-1,(Q69/OFFSET(Q69,0,-4,,))-1),"")</f>
        <v>-9.3696249179755497E-3</v>
      </c>
      <c r="R70" s="2">
        <f ca="1">IFERROR(IF(Inputs!$E$14 = "Semi-annual",(R69/OFFSET(R69,0,-2,,))-1,(R69/OFFSET(R69,0,-4,,))-1),"")</f>
        <v>0.55153432111843759</v>
      </c>
      <c r="S70" s="2">
        <f ca="1">IFERROR(IF(Inputs!$E$14 = "Semi-annual",(S69/OFFSET(S69,0,-2,,))-1,(S69/OFFSET(S69,0,-4,,))-1),"")</f>
        <v>0.67522153476094404</v>
      </c>
      <c r="T70" s="2">
        <f ca="1">IFERROR(IF(Inputs!$E$14 = "Semi-annual",(T69/OFFSET(T69,0,-2,,))-1,(T69/OFFSET(T69,0,-4,,))-1),"")</f>
        <v>0.94596204776928428</v>
      </c>
      <c r="U70" s="2">
        <f ca="1">IFERROR(IF(Inputs!$E$14 = "Semi-annual",(U69/OFFSET(U69,0,-2,,))-1,(U69/OFFSET(U69,0,-4,,))-1),"")</f>
        <v>0.88731586895607206</v>
      </c>
      <c r="V70" s="2">
        <f ca="1">IFERROR(IF(Inputs!$E$14 = "Semi-annual",(V69/OFFSET(V69,0,-2,,))-1,(V69/OFFSET(V69,0,-4,,))-1),"")</f>
        <v>0.21212338215283255</v>
      </c>
      <c r="W70" s="2">
        <f ca="1">IFERROR(IF(Inputs!$E$14 = "Semi-annual",(W69/OFFSET(W69,0,-2,,))-1,(W69/OFFSET(W69,0,-4,,))-1),"")</f>
        <v>10.832821977487372</v>
      </c>
      <c r="X70" s="2">
        <f ca="1">IFERROR(IF(Inputs!$E$14 = "Semi-annual",(X69/OFFSET(X69,0,-2,,))-1,(X69/OFFSET(X69,0,-4,,))-1),"")</f>
        <v>3.3599520165943924</v>
      </c>
      <c r="Y70" s="2">
        <f ca="1">IFERROR(IF(Inputs!$E$14 = "Semi-annual",(Y69/OFFSET(Y69,0,-2,,))-1,(Y69/OFFSET(Y69,0,-4,,))-1),"")</f>
        <v>2.6768276578997585</v>
      </c>
    </row>
    <row r="71" spans="1:25" x14ac:dyDescent="0.3">
      <c r="A71" s="14" t="str">
        <f>("Total Operating Costs per " &amp; 'Annual Operational Data'!$A$33 &amp; " [cents]")</f>
        <v>Total Operating Costs per ASMs [cents]</v>
      </c>
      <c r="B71" s="77">
        <f>IFERROR(B31*100/'Interim Operational Data'!B33, "N/A")</f>
        <v>13.428889978855137</v>
      </c>
      <c r="C71" s="77">
        <f>IFERROR(C31*100/'Interim Operational Data'!C33, "N/A")</f>
        <v>12.578912864619966</v>
      </c>
      <c r="D71" s="77">
        <f>IFERROR(D31*100/'Interim Operational Data'!D33, "N/A")</f>
        <v>10.432477933719746</v>
      </c>
      <c r="E71" s="77">
        <f>IFERROR(E31*100/'Interim Operational Data'!E33, "N/A")</f>
        <v>11.885562182468849</v>
      </c>
      <c r="F71" s="77">
        <f>IFERROR(F31*100/'Interim Operational Data'!F33, "N/A")</f>
        <v>11.701582723605377</v>
      </c>
      <c r="G71" s="77">
        <f>IFERROR(G31*100/'Interim Operational Data'!G33, "N/A")</f>
        <v>11.045195679603342</v>
      </c>
      <c r="H71" s="77">
        <f>IFERROR(H31*100/'Interim Operational Data'!H33, "N/A")</f>
        <v>9.5829864231596353</v>
      </c>
      <c r="I71" s="77">
        <f>IFERROR(I31*100/'Interim Operational Data'!I33, "N/A")</f>
        <v>11.248136243016324</v>
      </c>
      <c r="J71" s="77">
        <f>IFERROR(J31*100/'Interim Operational Data'!J33, "N/A")</f>
        <v>12.096915625466726</v>
      </c>
      <c r="K71" s="77">
        <f>IFERROR(K31*100/'Interim Operational Data'!K33, "N/A")</f>
        <v>10.624818058408044</v>
      </c>
      <c r="L71" s="77">
        <f>IFERROR(L31*100/'Interim Operational Data'!L33, "N/A")</f>
        <v>9.8841258344772136</v>
      </c>
      <c r="M71" s="77">
        <f>IFERROR(M31*100/'Interim Operational Data'!M33, "N/A")</f>
        <v>11.996749187177596</v>
      </c>
      <c r="N71" s="77">
        <f>IFERROR(N31*100/'Interim Operational Data'!N33, "N/A")</f>
        <v>12.99805364776153</v>
      </c>
      <c r="O71" s="77">
        <f>IFERROR(O31*100/'Interim Operational Data'!O33, "N/A")</f>
        <v>11.668218613864743</v>
      </c>
      <c r="P71" s="77">
        <f>IFERROR(P31*100/'Interim Operational Data'!P33, "N/A")</f>
        <v>10.562621143108812</v>
      </c>
      <c r="Q71" s="77">
        <f>IFERROR(Q31*100/'Interim Operational Data'!Q33, "N/A")</f>
        <v>12.197632982475305</v>
      </c>
      <c r="R71" s="77">
        <f>IFERROR(R31*100/'Interim Operational Data'!R33, "N/A")</f>
        <v>12.504910421199936</v>
      </c>
      <c r="S71" s="77">
        <f>IFERROR(S31*100/'Interim Operational Data'!S33, "N/A")</f>
        <v>11.610717289828628</v>
      </c>
      <c r="T71" s="77">
        <f>IFERROR(T31*100/'Interim Operational Data'!T33, "N/A")</f>
        <v>10.726908265060905</v>
      </c>
      <c r="U71" s="77">
        <f>IFERROR(U31*100/'Interim Operational Data'!U33, "N/A")</f>
        <v>12.1040440554052</v>
      </c>
      <c r="V71" s="77">
        <f>IFERROR(V31*100/'Interim Operational Data'!V33, "N/A")</f>
        <v>13.171833526633568</v>
      </c>
      <c r="W71" s="77">
        <f>IFERROR(W31*100/'Interim Operational Data'!W33, "N/A")</f>
        <v>56.452187935482947</v>
      </c>
      <c r="X71" s="77">
        <f>IFERROR(X31*100/'Interim Operational Data'!X33, "N/A")</f>
        <v>19.273764913052165</v>
      </c>
      <c r="Y71" s="77">
        <f>IFERROR(Y31*100/'Interim Operational Data'!Y33, "N/A")</f>
        <v>23.083852563621349</v>
      </c>
    </row>
    <row r="72" spans="1:25" x14ac:dyDescent="0.3">
      <c r="A72" s="85" t="s">
        <v>0</v>
      </c>
      <c r="B72" s="2"/>
      <c r="C72" s="2" t="str">
        <f ca="1">IFERROR(IF(Inputs!$E$14 = "Semi-annual",(C71/OFFSET(C71,0,-2,,))-1,(C71/OFFSET(C71,0,-4,,))-1),"")</f>
        <v/>
      </c>
      <c r="D72" s="2" t="str">
        <f ca="1">IFERROR(IF(Inputs!$E$14 = "Semi-annual",(D71/OFFSET(D71,0,-2,,))-1,(D71/OFFSET(D71,0,-4,,))-1),"")</f>
        <v/>
      </c>
      <c r="E72" s="2" t="str">
        <f ca="1">IFERROR(IF(Inputs!$E$14 = "Semi-annual",(E71/OFFSET(E71,0,-2,,))-1,(E71/OFFSET(E71,0,-4,,))-1),"")</f>
        <v/>
      </c>
      <c r="F72" s="2">
        <f ca="1">IFERROR(IF(Inputs!$E$14 = "Semi-annual",(F71/OFFSET(F71,0,-2,,))-1,(F71/OFFSET(F71,0,-4,,))-1),"")</f>
        <v>-0.12862621243971351</v>
      </c>
      <c r="G72" s="2">
        <f ca="1">IFERROR(IF(Inputs!$E$14 = "Semi-annual",(G71/OFFSET(G71,0,-2,,))-1,(G71/OFFSET(G71,0,-4,,))-1),"")</f>
        <v>-0.12192764204054773</v>
      </c>
      <c r="H72" s="2">
        <f ca="1">IFERROR(IF(Inputs!$E$14 = "Semi-annual",(H71/OFFSET(H71,0,-2,,))-1,(H71/OFFSET(H71,0,-4,,))-1),"")</f>
        <v>-8.1427587573839277E-2</v>
      </c>
      <c r="I72" s="2">
        <f ca="1">IFERROR(IF(Inputs!$E$14 = "Semi-annual",(I71/OFFSET(I71,0,-2,,))-1,(I71/OFFSET(I71,0,-4,,))-1),"")</f>
        <v>-5.3630272566553505E-2</v>
      </c>
      <c r="J72" s="2">
        <f ca="1">IFERROR(IF(Inputs!$E$14 = "Semi-annual",(J71/OFFSET(J71,0,-2,,))-1,(J71/OFFSET(J71,0,-4,,))-1),"")</f>
        <v>3.3784566686338335E-2</v>
      </c>
      <c r="K72" s="2">
        <f ca="1">IFERROR(IF(Inputs!$E$14 = "Semi-annual",(K71/OFFSET(K71,0,-2,,))-1,(K71/OFFSET(K71,0,-4,,))-1),"")</f>
        <v>-3.8059771269746689E-2</v>
      </c>
      <c r="L72" s="2">
        <f ca="1">IFERROR(IF(Inputs!$E$14 = "Semi-annual",(L71/OFFSET(L71,0,-2,,))-1,(L71/OFFSET(L71,0,-4,,))-1),"")</f>
        <v>3.1424380461376966E-2</v>
      </c>
      <c r="M72" s="2">
        <f ca="1">IFERROR(IF(Inputs!$E$14 = "Semi-annual",(M71/OFFSET(M71,0,-2,,))-1,(M71/OFFSET(M71,0,-4,,))-1),"")</f>
        <v>6.6554398701035078E-2</v>
      </c>
      <c r="N72" s="2">
        <f ca="1">IFERROR(IF(Inputs!$E$14 = "Semi-annual",(N71/OFFSET(N71,0,-2,,))-1,(N71/OFFSET(N71,0,-4,,))-1),"")</f>
        <v>7.4493205557101261E-2</v>
      </c>
      <c r="O72" s="2">
        <f ca="1">IFERROR(IF(Inputs!$E$14 = "Semi-annual",(O71/OFFSET(O71,0,-2,,))-1,(O71/OFFSET(O71,0,-4,,))-1),"")</f>
        <v>9.8204086857844652E-2</v>
      </c>
      <c r="P72" s="2">
        <f ca="1">IFERROR(IF(Inputs!$E$14 = "Semi-annual",(P71/OFFSET(P71,0,-2,,))-1,(P71/OFFSET(P71,0,-4,,))-1),"")</f>
        <v>6.8644948475353518E-2</v>
      </c>
      <c r="Q72" s="2">
        <f ca="1">IFERROR(IF(Inputs!$E$14 = "Semi-annual",(Q71/OFFSET(Q71,0,-2,,))-1,(Q71/OFFSET(Q71,0,-4,,))-1),"")</f>
        <v>1.6744852473236538E-2</v>
      </c>
      <c r="R72" s="2">
        <f ca="1">IFERROR(IF(Inputs!$E$14 = "Semi-annual",(R71/OFFSET(R71,0,-2,,))-1,(R71/OFFSET(R71,0,-4,,))-1),"")</f>
        <v>-3.793977467130405E-2</v>
      </c>
      <c r="S72" s="2">
        <f ca="1">IFERROR(IF(Inputs!$E$14 = "Semi-annual",(S71/OFFSET(S71,0,-2,,))-1,(S71/OFFSET(S71,0,-4,,))-1),"")</f>
        <v>-4.9280293709778045E-3</v>
      </c>
      <c r="T72" s="2">
        <f ca="1">IFERROR(IF(Inputs!$E$14 = "Semi-annual",(T71/OFFSET(T71,0,-2,,))-1,(T71/OFFSET(T71,0,-4,,))-1),"")</f>
        <v>1.5553631975077975E-2</v>
      </c>
      <c r="U72" s="2">
        <f ca="1">IFERROR(IF(Inputs!$E$14 = "Semi-annual",(U71/OFFSET(U71,0,-2,,))-1,(U71/OFFSET(U71,0,-4,,))-1),"")</f>
        <v>-7.6727121733016768E-3</v>
      </c>
      <c r="V72" s="2">
        <f ca="1">IFERROR(IF(Inputs!$E$14 = "Semi-annual",(V71/OFFSET(V71,0,-2,,))-1,(V71/OFFSET(V71,0,-4,,))-1),"")</f>
        <v>5.3332897475457219E-2</v>
      </c>
      <c r="W72" s="2">
        <f ca="1">IFERROR(IF(Inputs!$E$14 = "Semi-annual",(W71/OFFSET(W71,0,-2,,))-1,(W71/OFFSET(W71,0,-4,,))-1),"")</f>
        <v>3.8620758327254192</v>
      </c>
      <c r="X72" s="2">
        <f ca="1">IFERROR(IF(Inputs!$E$14 = "Semi-annual",(X71/OFFSET(X71,0,-2,,))-1,(X71/OFFSET(X71,0,-4,,))-1),"")</f>
        <v>0.79676794438800336</v>
      </c>
      <c r="Y72" s="2">
        <f ca="1">IFERROR(IF(Inputs!$E$14 = "Semi-annual",(Y71/OFFSET(Y71,0,-2,,))-1,(Y71/OFFSET(Y71,0,-4,,))-1),"")</f>
        <v>0.90711901393922867</v>
      </c>
    </row>
    <row r="73" spans="1:25" x14ac:dyDescent="0.3">
      <c r="A73" s="14" t="str">
        <f>("Total Operating Costs ex-fuel per " &amp; 'Annual Operational Data'!$A$33 &amp;" [cents]")</f>
        <v>Total Operating Costs ex-fuel per ASMs [cents]</v>
      </c>
      <c r="B73" s="77">
        <f>IFERROR(B33*100/'Interim Operational Data'!B33, "N/A")</f>
        <v>10.821509569710418</v>
      </c>
      <c r="C73" s="77">
        <f>IFERROR(C33*100/'Interim Operational Data'!C33, "N/A")</f>
        <v>9.961335621115234</v>
      </c>
      <c r="D73" s="77">
        <f>IFERROR(D33*100/'Interim Operational Data'!D33, "N/A")</f>
        <v>8.165820477422157</v>
      </c>
      <c r="E73" s="77">
        <f>IFERROR(E33*100/'Interim Operational Data'!E33, "N/A")</f>
        <v>9.7927819385125883</v>
      </c>
      <c r="F73" s="77">
        <f>IFERROR(F33*100/'Interim Operational Data'!F33, "N/A")</f>
        <v>10.065049046989511</v>
      </c>
      <c r="G73" s="77">
        <f>IFERROR(G33*100/'Interim Operational Data'!G33, "N/A")</f>
        <v>9.2153251599079749</v>
      </c>
      <c r="H73" s="77">
        <f>IFERROR(H33*100/'Interim Operational Data'!H33, "N/A")</f>
        <v>7.6744760469016819</v>
      </c>
      <c r="I73" s="77">
        <f>IFERROR(I33*100/'Interim Operational Data'!I33, "N/A")</f>
        <v>9.2196725900236327</v>
      </c>
      <c r="J73" s="77">
        <f>IFERROR(J33*100/'Interim Operational Data'!J33, "N/A")</f>
        <v>9.9223746005942299</v>
      </c>
      <c r="K73" s="77">
        <f>IFERROR(K33*100/'Interim Operational Data'!K33, "N/A")</f>
        <v>8.5724627376739448</v>
      </c>
      <c r="L73" s="77">
        <f>IFERROR(L33*100/'Interim Operational Data'!L33, "N/A")</f>
        <v>7.4670358110252737</v>
      </c>
      <c r="M73" s="77">
        <f>IFERROR(M33*100/'Interim Operational Data'!M33, "N/A")</f>
        <v>9.6052084623130636</v>
      </c>
      <c r="N73" s="77">
        <f>IFERROR(N33*100/'Interim Operational Data'!N33, "N/A")</f>
        <v>10.372987733586925</v>
      </c>
      <c r="O73" s="77">
        <f>IFERROR(O33*100/'Interim Operational Data'!O33, "N/A")</f>
        <v>8.9294402491786915</v>
      </c>
      <c r="P73" s="77">
        <f>IFERROR(P33*100/'Interim Operational Data'!P33, "N/A")</f>
        <v>7.3972979546493178</v>
      </c>
      <c r="Q73" s="77">
        <f>IFERROR(Q33*100/'Interim Operational Data'!Q33, "N/A")</f>
        <v>9.8048383455154333</v>
      </c>
      <c r="R73" s="77">
        <f>IFERROR(R33*100/'Interim Operational Data'!R33, "N/A")</f>
        <v>9.9582562184544088</v>
      </c>
      <c r="S73" s="77">
        <f>IFERROR(S33*100/'Interim Operational Data'!S33, "N/A")</f>
        <v>8.9564564284168249</v>
      </c>
      <c r="T73" s="77">
        <f>IFERROR(T33*100/'Interim Operational Data'!T33, "N/A")</f>
        <v>8.176438233798871</v>
      </c>
      <c r="U73" s="77">
        <f>IFERROR(U33*100/'Interim Operational Data'!U33, "N/A")</f>
        <v>9.5330453536058961</v>
      </c>
      <c r="V73" s="77">
        <f>IFERROR(V33*100/'Interim Operational Data'!V33, "N/A")</f>
        <v>10.521616239445683</v>
      </c>
      <c r="W73" s="77">
        <f>IFERROR(W33*100/'Interim Operational Data'!W33, "N/A")</f>
        <v>52.465814755528569</v>
      </c>
      <c r="X73" s="77">
        <f>IFERROR(X33*100/'Interim Operational Data'!X33, "N/A")</f>
        <v>17.086405081804351</v>
      </c>
      <c r="Y73" s="77">
        <f>IFERROR(Y33*100/'Interim Operational Data'!Y33, "N/A")</f>
        <v>20.744188374246175</v>
      </c>
    </row>
    <row r="74" spans="1:25" x14ac:dyDescent="0.3">
      <c r="A74" s="85" t="s">
        <v>0</v>
      </c>
      <c r="B74" s="2"/>
      <c r="C74" s="2" t="str">
        <f ca="1">IFERROR(IF(Inputs!$E$14 = "Semi-annual",(C73/OFFSET(C73,0,-2,,))-1,(C73/OFFSET(C73,0,-4,,))-1),"")</f>
        <v/>
      </c>
      <c r="D74" s="2" t="str">
        <f ca="1">IFERROR(IF(Inputs!$E$14 = "Semi-annual",(D73/OFFSET(D73,0,-2,,))-1,(D73/OFFSET(D73,0,-4,,))-1),"")</f>
        <v/>
      </c>
      <c r="E74" s="2" t="str">
        <f ca="1">IFERROR(IF(Inputs!$E$14 = "Semi-annual",(E73/OFFSET(E73,0,-2,,))-1,(E73/OFFSET(E73,0,-4,,))-1),"")</f>
        <v/>
      </c>
      <c r="F74" s="2">
        <f ca="1">IFERROR(IF(Inputs!$E$14 = "Semi-annual",(F73/OFFSET(F73,0,-2,,))-1,(F73/OFFSET(F73,0,-4,,))-1),"")</f>
        <v>-6.9903419467303607E-2</v>
      </c>
      <c r="G74" s="2">
        <f ca="1">IFERROR(IF(Inputs!$E$14 = "Semi-annual",(G73/OFFSET(G73,0,-2,,))-1,(G73/OFFSET(G73,0,-4,,))-1),"")</f>
        <v>-7.4890605997244619E-2</v>
      </c>
      <c r="H74" s="2">
        <f ca="1">IFERROR(IF(Inputs!$E$14 = "Semi-annual",(H73/OFFSET(H73,0,-2,,))-1,(H73/OFFSET(H73,0,-4,,))-1),"")</f>
        <v>-6.0170858749467149E-2</v>
      </c>
      <c r="I74" s="2">
        <f ca="1">IFERROR(IF(Inputs!$E$14 = "Semi-annual",(I73/OFFSET(I73,0,-2,,))-1,(I73/OFFSET(I73,0,-4,,))-1),"")</f>
        <v>-5.8523650591570719E-2</v>
      </c>
      <c r="J74" s="2">
        <f ca="1">IFERROR(IF(Inputs!$E$14 = "Semi-annual",(J73/OFFSET(J73,0,-2,,))-1,(J73/OFFSET(J73,0,-4,,))-1),"")</f>
        <v>-1.4175236079744247E-2</v>
      </c>
      <c r="K74" s="2">
        <f ca="1">IFERROR(IF(Inputs!$E$14 = "Semi-annual",(K73/OFFSET(K73,0,-2,,))-1,(K73/OFFSET(K73,0,-4,,))-1),"")</f>
        <v>-6.9760145309994637E-2</v>
      </c>
      <c r="L74" s="2">
        <f ca="1">IFERROR(IF(Inputs!$E$14 = "Semi-annual",(L73/OFFSET(L73,0,-2,,))-1,(L73/OFFSET(L73,0,-4,,))-1),"")</f>
        <v>-2.7029889025473652E-2</v>
      </c>
      <c r="M74" s="2">
        <f ca="1">IFERROR(IF(Inputs!$E$14 = "Semi-annual",(M73/OFFSET(M73,0,-2,,))-1,(M73/OFFSET(M73,0,-4,,))-1),"")</f>
        <v>4.1816655475012121E-2</v>
      </c>
      <c r="N74" s="2">
        <f ca="1">IFERROR(IF(Inputs!$E$14 = "Semi-annual",(N73/OFFSET(N73,0,-2,,))-1,(N73/OFFSET(N73,0,-4,,))-1),"")</f>
        <v>4.5413840046485188E-2</v>
      </c>
      <c r="O74" s="2">
        <f ca="1">IFERROR(IF(Inputs!$E$14 = "Semi-annual",(O73/OFFSET(O73,0,-2,,))-1,(O73/OFFSET(O73,0,-4,,))-1),"")</f>
        <v>4.1642352078815614E-2</v>
      </c>
      <c r="P74" s="2">
        <f ca="1">IFERROR(IF(Inputs!$E$14 = "Semi-annual",(P73/OFFSET(P73,0,-2,,))-1,(P73/OFFSET(P73,0,-4,,))-1),"")</f>
        <v>-9.3394297470739129E-3</v>
      </c>
      <c r="Q74" s="2">
        <f ca="1">IFERROR(IF(Inputs!$E$14 = "Semi-annual",(Q73/OFFSET(Q73,0,-2,,))-1,(Q73/OFFSET(Q73,0,-4,,))-1),"")</f>
        <v>2.0783503448742024E-2</v>
      </c>
      <c r="R74" s="2">
        <f ca="1">IFERROR(IF(Inputs!$E$14 = "Semi-annual",(R73/OFFSET(R73,0,-2,,))-1,(R73/OFFSET(R73,0,-4,,))-1),"")</f>
        <v>-3.9981876560949536E-2</v>
      </c>
      <c r="S74" s="2">
        <f ca="1">IFERROR(IF(Inputs!$E$14 = "Semi-annual",(S73/OFFSET(S73,0,-2,,))-1,(S73/OFFSET(S73,0,-4,,))-1),"")</f>
        <v>3.0255176678759543E-3</v>
      </c>
      <c r="T74" s="2">
        <f ca="1">IFERROR(IF(Inputs!$E$14 = "Semi-annual",(T73/OFFSET(T73,0,-2,,))-1,(T73/OFFSET(T73,0,-4,,))-1),"")</f>
        <v>0.10532768639660528</v>
      </c>
      <c r="U74" s="2">
        <f ca="1">IFERROR(IF(Inputs!$E$14 = "Semi-annual",(U73/OFFSET(U73,0,-2,,))-1,(U73/OFFSET(U73,0,-4,,))-1),"")</f>
        <v>-2.7720293015728426E-2</v>
      </c>
      <c r="V74" s="2">
        <f ca="1">IFERROR(IF(Inputs!$E$14 = "Semi-annual",(V73/OFFSET(V73,0,-2,,))-1,(V73/OFFSET(V73,0,-4,,))-1),"")</f>
        <v>5.6572155669912139E-2</v>
      </c>
      <c r="W74" s="2">
        <f ca="1">IFERROR(IF(Inputs!$E$14 = "Semi-annual",(W73/OFFSET(W73,0,-2,,))-1,(W73/OFFSET(W73,0,-4,,))-1),"")</f>
        <v>4.8578764017727281</v>
      </c>
      <c r="X74" s="2">
        <f ca="1">IFERROR(IF(Inputs!$E$14 = "Semi-annual",(X73/OFFSET(X73,0,-2,,))-1,(X73/OFFSET(X73,0,-4,,))-1),"")</f>
        <v>1.0897124876666258</v>
      </c>
      <c r="Y74" s="2">
        <f ca="1">IFERROR(IF(Inputs!$E$14 = "Semi-annual",(Y73/OFFSET(Y73,0,-2,,))-1,(Y73/OFFSET(Y73,0,-4,,))-1),"")</f>
        <v>1.1760295482492</v>
      </c>
    </row>
    <row r="75" spans="1:25" x14ac:dyDescent="0.3">
      <c r="A75" s="85"/>
      <c r="B75" s="218"/>
      <c r="C75" s="218"/>
      <c r="D75" s="218"/>
      <c r="E75" s="218"/>
      <c r="F75" s="218"/>
      <c r="G75" s="218"/>
      <c r="H75" s="218"/>
      <c r="I75" s="218"/>
      <c r="J75" s="218"/>
      <c r="K75" s="218"/>
      <c r="L75" s="218"/>
      <c r="M75" s="218"/>
      <c r="N75" s="218"/>
      <c r="O75" s="218"/>
      <c r="P75" s="218"/>
      <c r="Q75" s="218"/>
      <c r="R75" s="218"/>
      <c r="S75" s="218"/>
      <c r="T75" s="218"/>
      <c r="U75" s="218"/>
      <c r="V75" s="218"/>
      <c r="W75" s="218"/>
      <c r="X75" s="218"/>
      <c r="Y75" s="218"/>
    </row>
    <row r="76" spans="1:25" x14ac:dyDescent="0.3">
      <c r="A76" s="85" t="s">
        <v>285</v>
      </c>
      <c r="B76" s="21"/>
      <c r="C76" s="21"/>
      <c r="D76" s="21"/>
      <c r="E76" s="21"/>
      <c r="F76" s="21"/>
      <c r="G76" s="21"/>
      <c r="H76" s="21"/>
      <c r="I76" s="21"/>
      <c r="J76" s="21"/>
      <c r="K76" s="21"/>
      <c r="L76" s="21"/>
      <c r="M76" s="21"/>
      <c r="N76" s="21"/>
      <c r="O76" s="21"/>
      <c r="P76" s="21"/>
      <c r="Q76" s="21"/>
      <c r="R76" s="21"/>
      <c r="S76" s="21"/>
      <c r="T76" s="21"/>
      <c r="U76" s="21"/>
      <c r="V76" s="21"/>
      <c r="W76" s="21"/>
      <c r="X76" s="21"/>
      <c r="Y76" s="21"/>
    </row>
    <row r="77" spans="1:25" x14ac:dyDescent="0.3">
      <c r="A77" s="85" t="s">
        <v>0</v>
      </c>
      <c r="B77" s="2"/>
      <c r="C77" s="61"/>
      <c r="D77" s="61"/>
      <c r="E77" s="61"/>
      <c r="F77" s="61"/>
      <c r="G77" s="61"/>
      <c r="H77" s="61"/>
      <c r="I77" s="61"/>
      <c r="J77" s="61"/>
      <c r="K77" s="61"/>
      <c r="L77" s="61"/>
      <c r="M77" s="61"/>
      <c r="N77" s="61"/>
      <c r="O77" s="61"/>
      <c r="P77" s="61"/>
      <c r="Q77" s="61"/>
      <c r="R77" s="61"/>
      <c r="S77" s="61"/>
      <c r="T77" s="61"/>
      <c r="U77" s="61"/>
      <c r="V77" s="61"/>
      <c r="W77" s="61"/>
      <c r="X77" s="61"/>
      <c r="Y77" s="61"/>
    </row>
  </sheetData>
  <mergeCells count="2">
    <mergeCell ref="A1:Q1"/>
    <mergeCell ref="U1:Y1"/>
  </mergeCells>
  <pageMargins left="0.70866141732283472" right="0.70866141732283472" top="0.74803149606299213" bottom="0.74803149606299213" header="0.31496062992125984" footer="0.31496062992125984"/>
  <pageSetup paperSize="9" scale="25" orientation="portrait" r:id="rId1"/>
  <headerFooter alignWithMargins="0"/>
  <ignoredErrors>
    <ignoredError sqref="C11:K73" formula="1"/>
  </ignoredError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79998168889431442"/>
  </sheetPr>
  <dimension ref="B2:AD330"/>
  <sheetViews>
    <sheetView showGridLines="0" tabSelected="1" topLeftCell="A5" zoomScale="85" zoomScaleNormal="85" workbookViewId="0">
      <selection activeCell="N16" sqref="N16:N24"/>
    </sheetView>
  </sheetViews>
  <sheetFormatPr defaultColWidth="9" defaultRowHeight="14.4" x14ac:dyDescent="0.3"/>
  <cols>
    <col min="1" max="1" width="9" style="52"/>
    <col min="2" max="2" width="29.88671875" style="52" customWidth="1"/>
    <col min="3" max="4" width="9.44140625" style="52" customWidth="1"/>
    <col min="5" max="5" width="10.5546875" style="52" customWidth="1"/>
    <col min="6" max="8" width="9.44140625" style="52" customWidth="1"/>
    <col min="9" max="12" width="9.5546875" style="52" customWidth="1"/>
    <col min="13" max="13" width="9" style="52"/>
    <col min="14" max="14" width="9.44140625" style="52" bestFit="1" customWidth="1"/>
    <col min="15" max="15" width="9" style="52"/>
    <col min="16" max="16" width="9.88671875" style="52" customWidth="1"/>
    <col min="17" max="16384" width="9" style="52"/>
  </cols>
  <sheetData>
    <row r="2" spans="2:14" x14ac:dyDescent="0.3">
      <c r="B2" s="90"/>
      <c r="C2" s="91"/>
      <c r="D2" s="91"/>
      <c r="E2" s="91"/>
      <c r="F2" s="91"/>
      <c r="G2" s="91"/>
      <c r="H2" s="91"/>
      <c r="I2" s="91"/>
      <c r="J2" s="91"/>
      <c r="K2" s="91"/>
      <c r="L2" s="93" t="s">
        <v>268</v>
      </c>
    </row>
    <row r="3" spans="2:14" x14ac:dyDescent="0.3">
      <c r="B3" s="92" t="s">
        <v>305</v>
      </c>
      <c r="C3" s="292">
        <v>2010</v>
      </c>
      <c r="D3" s="292">
        <v>2011</v>
      </c>
      <c r="E3" s="292">
        <v>2012</v>
      </c>
      <c r="F3" s="292">
        <v>2013</v>
      </c>
      <c r="G3" s="292">
        <v>2014</v>
      </c>
      <c r="H3" s="292">
        <v>2015</v>
      </c>
      <c r="I3" s="292">
        <v>2016</v>
      </c>
      <c r="J3" s="292">
        <v>2017</v>
      </c>
      <c r="K3" s="292">
        <v>2018</v>
      </c>
      <c r="L3" s="292">
        <v>2017</v>
      </c>
    </row>
    <row r="4" spans="2:14" x14ac:dyDescent="0.3">
      <c r="B4" s="90" t="s">
        <v>306</v>
      </c>
      <c r="C4" s="94">
        <f>'Annual Cash Flow Reported'!B40/'Annual Inc Statement Reported'!B13</f>
        <v>5.7574633784535506E-2</v>
      </c>
      <c r="D4" s="94">
        <f>'Annual Cash Flow Reported'!C40/'Annual Inc Statement Reported'!C13</f>
        <v>2.6007578367206338E-2</v>
      </c>
      <c r="E4" s="94">
        <f>'Annual Cash Flow Reported'!D40/'Annual Inc Statement Reported'!D13</f>
        <v>1.4026402640264027E-3</v>
      </c>
      <c r="F4" s="94">
        <f>'Annual Cash Flow Reported'!E40/'Annual Inc Statement Reported'!E13</f>
        <v>-1.8010014537231465E-2</v>
      </c>
      <c r="G4" s="94">
        <f>'Annual Cash Flow Reported'!F40/'Annual Inc Statement Reported'!F13</f>
        <v>-4.550934297769741E-2</v>
      </c>
      <c r="H4" s="94">
        <f>'Annual Cash Flow Reported'!G40/'Annual Inc Statement Reported'!G13</f>
        <v>0</v>
      </c>
      <c r="I4" s="94">
        <f>'Annual Cash Flow Reported'!H40/'Annual Inc Statement Reported'!H13</f>
        <v>-3.338556925802276E-2</v>
      </c>
      <c r="J4" s="94">
        <f>'Annual Cash Flow Reported'!M40/'Annual Inc Statement Reported'!M13</f>
        <v>-0.75911921708185048</v>
      </c>
      <c r="K4" s="94" t="e">
        <f>'Annual Cash Flow Reported'!N40/'Annual Inc Statement Reported'!N13</f>
        <v>#DIV/0!</v>
      </c>
      <c r="L4" s="94">
        <f>'Annual Cash Flow Reported'!M40/'Annual Inc Statement Reported'!M13</f>
        <v>-0.75911921708185048</v>
      </c>
    </row>
    <row r="5" spans="2:14" x14ac:dyDescent="0.3">
      <c r="B5" s="90" t="s">
        <v>307</v>
      </c>
      <c r="C5" s="94">
        <f>'Balance Sheet Reported'!B66/'Balance Sheet Reported'!B70</f>
        <v>0.42831501009647743</v>
      </c>
      <c r="D5" s="94">
        <f>'Balance Sheet Reported'!C66/'Balance Sheet Reported'!C70</f>
        <v>-0.92517321016166276</v>
      </c>
      <c r="E5" s="94">
        <f>'Balance Sheet Reported'!D66/'Balance Sheet Reported'!D70</f>
        <v>-0.84500632111251583</v>
      </c>
      <c r="F5" s="94">
        <f>'Balance Sheet Reported'!E66/'Balance Sheet Reported'!E70</f>
        <v>-0.32240941610893148</v>
      </c>
      <c r="G5" s="94">
        <f>'Balance Sheet Reported'!F66/'Balance Sheet Reported'!F70</f>
        <v>-0.21721625766871167</v>
      </c>
      <c r="H5" s="94">
        <f>'Balance Sheet Reported'!G66/'Balance Sheet Reported'!G70</f>
        <v>6.2558648733187366E-3</v>
      </c>
      <c r="I5" s="94">
        <f>'Balance Sheet Reported'!H66/'Balance Sheet Reported'!H70</f>
        <v>0.18419462073133877</v>
      </c>
      <c r="J5" s="94">
        <f>'Balance Sheet Reported'!M66/'Balance Sheet Reported'!M70</f>
        <v>8.6920033569116411E-3</v>
      </c>
      <c r="K5" s="94" t="e">
        <f>'Balance Sheet Reported'!N66/'Balance Sheet Reported'!N70</f>
        <v>#DIV/0!</v>
      </c>
      <c r="L5" s="94">
        <f>'Balance Sheet Reported'!M66/'Balance Sheet Reported'!M70</f>
        <v>8.6920033569116411E-3</v>
      </c>
    </row>
    <row r="6" spans="2:14" x14ac:dyDescent="0.3">
      <c r="B6" s="90" t="s">
        <v>308</v>
      </c>
      <c r="C6" s="94">
        <f>'Annual Inc Statement Reported'!B37/-'Annual Inc Statement Reported'!B92</f>
        <v>1.0614525139664805</v>
      </c>
      <c r="D6" s="94">
        <f>'Annual Inc Statement Reported'!C37/-'Annual Inc Statement Reported'!C92</f>
        <v>0.52500000000000002</v>
      </c>
      <c r="E6" s="94">
        <f>'Annual Inc Statement Reported'!D37/-'Annual Inc Statement Reported'!D92</f>
        <v>1.1847389558232932</v>
      </c>
      <c r="F6" s="94">
        <f>'Annual Inc Statement Reported'!E37/-'Annual Inc Statement Reported'!E92</f>
        <v>1.2884012539184952</v>
      </c>
      <c r="G6" s="94">
        <f>'Annual Inc Statement Reported'!F37/-'Annual Inc Statement Reported'!F92</f>
        <v>2.691699604743083</v>
      </c>
      <c r="H6" s="94">
        <f>'Annual Inc Statement Reported'!G37/-'Annual Inc Statement Reported'!G92</f>
        <v>5.0952380952380949</v>
      </c>
      <c r="I6" s="94">
        <f>'Annual Inc Statement Reported'!H37/-'Annual Inc Statement Reported'!H92</f>
        <v>4.8059701492537314</v>
      </c>
      <c r="J6" s="94">
        <f>'Annual Inc Statement Reported'!M37/-'Annual Inc Statement Reported'!M92</f>
        <v>-5.4898595943837751</v>
      </c>
      <c r="K6" s="94" t="e">
        <f>'Annual Inc Statement Reported'!N37/-'Annual Inc Statement Reported'!N92</f>
        <v>#DIV/0!</v>
      </c>
      <c r="L6" s="94">
        <f>'Annual Inc Statement Reported'!M37/-'Annual Inc Statement Reported'!M92</f>
        <v>-5.4898595943837751</v>
      </c>
    </row>
    <row r="7" spans="2:14" x14ac:dyDescent="0.3">
      <c r="B7" s="90" t="s">
        <v>309</v>
      </c>
      <c r="C7" s="94">
        <f>('Balance Sheet Reported'!B45+'Balance Sheet Reported'!B46)/('Balance Sheet Reported'!B35+'Balance Sheet Reported'!B36)</f>
        <v>7.8257425742574256</v>
      </c>
      <c r="D7" s="94">
        <f>('Balance Sheet Reported'!C45+'Balance Sheet Reported'!C46)/('Balance Sheet Reported'!C35+'Balance Sheet Reported'!C36)</f>
        <v>9.2122641509433958</v>
      </c>
      <c r="E7" s="94">
        <f>('Balance Sheet Reported'!D45+'Balance Sheet Reported'!D46)/('Balance Sheet Reported'!D35+'Balance Sheet Reported'!D36)</f>
        <v>6.8162055335968379</v>
      </c>
      <c r="F7" s="94">
        <f>('Balance Sheet Reported'!E45+'Balance Sheet Reported'!E46)/('Balance Sheet Reported'!E35+'Balance Sheet Reported'!E36)</f>
        <v>10.585561497326204</v>
      </c>
      <c r="G7" s="94">
        <f>('Balance Sheet Reported'!F45+'Balance Sheet Reported'!F46)/('Balance Sheet Reported'!F35+'Balance Sheet Reported'!F36)</f>
        <v>9.776859504132231</v>
      </c>
      <c r="H7" s="94">
        <f>('Balance Sheet Reported'!G45+'Balance Sheet Reported'!G46)/('Balance Sheet Reported'!G35+'Balance Sheet Reported'!G36)</f>
        <v>11.202290076335878</v>
      </c>
      <c r="I7" s="94">
        <f>('Balance Sheet Reported'!H45+'Balance Sheet Reported'!H46)/('Balance Sheet Reported'!H35+'Balance Sheet Reported'!H36)</f>
        <v>8.3606789250353604</v>
      </c>
      <c r="J7" s="94">
        <f>('Balance Sheet Reported'!M45+'Balance Sheet Reported'!M46)/('Balance Sheet Reported'!M35+'Balance Sheet Reported'!M36)</f>
        <v>15.435467980295567</v>
      </c>
      <c r="K7" s="94" t="e">
        <f>('Balance Sheet Reported'!N45+'Balance Sheet Reported'!N46)/('Balance Sheet Reported'!N35+'Balance Sheet Reported'!N36)</f>
        <v>#DIV/0!</v>
      </c>
      <c r="L7" s="94">
        <f>('Balance Sheet Reported'!M45+'Balance Sheet Reported'!M46)/('Balance Sheet Reported'!M35+'Balance Sheet Reported'!M36)</f>
        <v>15.435467980295567</v>
      </c>
    </row>
    <row r="8" spans="2:14" x14ac:dyDescent="0.3">
      <c r="B8" s="90" t="s">
        <v>310</v>
      </c>
      <c r="C8" s="94">
        <f>('Balance Sheet Reported'!B33-'Balance Sheet Reported'!B28)/'Balance Sheet Reported'!B43</f>
        <v>1.0744611365120835</v>
      </c>
      <c r="D8" s="94">
        <f>('Balance Sheet Reported'!C33-'Balance Sheet Reported'!C28)/'Balance Sheet Reported'!C43</f>
        <v>0.99651125911830007</v>
      </c>
      <c r="E8" s="94">
        <f>('Balance Sheet Reported'!D33-'Balance Sheet Reported'!D28)/'Balance Sheet Reported'!D43</f>
        <v>0.88916105327617878</v>
      </c>
      <c r="F8" s="94">
        <f>('Balance Sheet Reported'!E33-'Balance Sheet Reported'!E28)/'Balance Sheet Reported'!E43</f>
        <v>0.98808777429467087</v>
      </c>
      <c r="G8" s="94">
        <f>('Balance Sheet Reported'!F33-'Balance Sheet Reported'!F28)/'Balance Sheet Reported'!F43</f>
        <v>0.93723494486853265</v>
      </c>
      <c r="H8" s="94">
        <f>('Balance Sheet Reported'!G33-'Balance Sheet Reported'!G28)/'Balance Sheet Reported'!G43</f>
        <v>1.0297727866283626</v>
      </c>
      <c r="I8" s="94">
        <f>('Balance Sheet Reported'!H33-'Balance Sheet Reported'!H28)/'Balance Sheet Reported'!H43</f>
        <v>0.94055153707052441</v>
      </c>
      <c r="J8" s="94">
        <f>('Balance Sheet Reported'!M33-'Balance Sheet Reported'!M28)/'Balance Sheet Reported'!M43</f>
        <v>1.572938689217759</v>
      </c>
      <c r="K8" s="94" t="e">
        <f>('Balance Sheet Reported'!N33-'Balance Sheet Reported'!N28)/'Balance Sheet Reported'!N43</f>
        <v>#DIV/0!</v>
      </c>
      <c r="L8" s="94">
        <f>('Balance Sheet Reported'!M33-'Balance Sheet Reported'!M28)/'Balance Sheet Reported'!M43</f>
        <v>1.572938689217759</v>
      </c>
    </row>
    <row r="9" spans="2:14" x14ac:dyDescent="0.3">
      <c r="B9" s="90" t="s">
        <v>311</v>
      </c>
      <c r="C9" s="94">
        <f>('Balance Sheet Reported'!B25+'Balance Sheet Reported'!B26)/('Annual Inc Statement Reported'!B13/12)</f>
        <v>2.4387168551826441</v>
      </c>
      <c r="D9" s="94">
        <f>('Balance Sheet Reported'!C25+'Balance Sheet Reported'!C26)/('Annual Inc Statement Reported'!C13/12)</f>
        <v>2.169135377196004</v>
      </c>
      <c r="E9" s="94">
        <f>('Balance Sheet Reported'!D25+'Balance Sheet Reported'!D26)/('Annual Inc Statement Reported'!D13/12)</f>
        <v>2.0059405940594059</v>
      </c>
      <c r="F9" s="94">
        <f>('Balance Sheet Reported'!E25+'Balance Sheet Reported'!E26)/('Annual Inc Statement Reported'!E13/12)</f>
        <v>2.1398804716523987</v>
      </c>
      <c r="G9" s="94">
        <f>('Balance Sheet Reported'!F25+'Balance Sheet Reported'!F26)/('Annual Inc Statement Reported'!F13/12)</f>
        <v>2.0569620253164556</v>
      </c>
      <c r="H9" s="94">
        <f>('Balance Sheet Reported'!G25+'Balance Sheet Reported'!G26)/('Annual Inc Statement Reported'!G13/12)</f>
        <v>2.3120853764061144</v>
      </c>
      <c r="I9" s="94">
        <f>('Balance Sheet Reported'!H25+'Balance Sheet Reported'!H26)/('Annual Inc Statement Reported'!H13/12)</f>
        <v>2.4356476119097912</v>
      </c>
      <c r="J9" s="94">
        <f>('Balance Sheet Reported'!M25+'Balance Sheet Reported'!M26)/('Annual Inc Statement Reported'!M13/12)</f>
        <v>23.22597864768683</v>
      </c>
      <c r="K9" s="94" t="e">
        <f>('Balance Sheet Reported'!N25+'Balance Sheet Reported'!N26)/('Annual Inc Statement Reported'!N13/12)</f>
        <v>#DIV/0!</v>
      </c>
      <c r="L9" s="94">
        <f>('Balance Sheet Reported'!M25+'Balance Sheet Reported'!M26)/('Annual Inc Statement Reported'!M13/12)</f>
        <v>23.22597864768683</v>
      </c>
    </row>
    <row r="10" spans="2:14" x14ac:dyDescent="0.3">
      <c r="B10" s="95" t="s">
        <v>312</v>
      </c>
      <c r="C10" s="94">
        <f>'Revenue Analysis US$'!B52-'Cost Analysis US$'!B71</f>
        <v>0.55187853748868498</v>
      </c>
      <c r="D10" s="94">
        <f>'Revenue Analysis US$'!C52-'Cost Analysis US$'!C71</f>
        <v>0.27237739379747339</v>
      </c>
      <c r="E10" s="94">
        <f>'Revenue Analysis US$'!D52-'Cost Analysis US$'!D71</f>
        <v>0.64986453887466311</v>
      </c>
      <c r="F10" s="94">
        <f>'Revenue Analysis US$'!E52-'Cost Analysis US$'!E71</f>
        <v>0.87656598052187817</v>
      </c>
      <c r="G10" s="94">
        <f>'Revenue Analysis US$'!F52-'Cost Analysis US$'!F71</f>
        <v>1.0598691843389645</v>
      </c>
      <c r="H10" s="94">
        <f>'Revenue Analysis US$'!G52-'Cost Analysis US$'!G71</f>
        <v>1.4556263946818984</v>
      </c>
      <c r="I10" s="94">
        <f>'Revenue Analysis US$'!H52-'Cost Analysis US$'!H71</f>
        <v>1.1685798096518631</v>
      </c>
      <c r="J10" s="94">
        <f>'Revenue Analysis US$'!I52-'Cost Analysis US$'!I71</f>
        <v>1.0376196635127464</v>
      </c>
      <c r="K10" s="94">
        <f>'Revenue Analysis US$'!J52-'Cost Analysis US$'!J71</f>
        <v>1.0412114474098431</v>
      </c>
      <c r="L10" s="94">
        <f>'Revenue Analysis US$'!M52-'Cost Analysis US$'!M71</f>
        <v>-10.793671692786001</v>
      </c>
    </row>
    <row r="11" spans="2:14" x14ac:dyDescent="0.3">
      <c r="B11" s="95" t="s">
        <v>313</v>
      </c>
      <c r="C11" s="96">
        <f>'Balance Sheet US$'!B34</f>
        <v>10596.719999999998</v>
      </c>
      <c r="D11" s="96">
        <f>'Balance Sheet US$'!C34</f>
        <v>9428.7803999999996</v>
      </c>
      <c r="E11" s="96">
        <f>'Balance Sheet US$'!D34</f>
        <v>9087.18</v>
      </c>
      <c r="F11" s="96">
        <f>'Balance Sheet US$'!E34</f>
        <v>8906.8191000000006</v>
      </c>
      <c r="G11" s="96">
        <f>'Balance Sheet US$'!F34</f>
        <v>9186.0295999999998</v>
      </c>
      <c r="H11" s="96">
        <f>'Balance Sheet US$'!G34</f>
        <v>9479.6630499999992</v>
      </c>
      <c r="I11" s="96">
        <f>'Balance Sheet US$'!H34</f>
        <v>11258.100558659218</v>
      </c>
      <c r="J11" s="96">
        <f>'Balance Sheet US$'!M34</f>
        <v>24443.368828654406</v>
      </c>
      <c r="K11" s="96">
        <f>'Balance Sheet US$'!N34</f>
        <v>0</v>
      </c>
      <c r="L11" s="96">
        <f>'Balance Sheet US$'!M34</f>
        <v>24443.368828654406</v>
      </c>
    </row>
    <row r="12" spans="2:14" x14ac:dyDescent="0.3">
      <c r="B12" s="95" t="s">
        <v>314</v>
      </c>
      <c r="C12" s="94">
        <f>('Balance Sheet Reported'!B70+'Balance Sheet Reported'!B73)/'Annual Inc Statement Reported'!B26</f>
        <v>4.9632034632034632</v>
      </c>
      <c r="D12" s="94">
        <f>('Balance Sheet Reported'!C70+'Balance Sheet Reported'!C73)/'Annual Inc Statement Reported'!C26</f>
        <v>5.3743961352657008</v>
      </c>
      <c r="E12" s="94">
        <f>('Balance Sheet Reported'!D70+'Balance Sheet Reported'!D73)/'Annual Inc Statement Reported'!D26</f>
        <v>4.3466574776016538</v>
      </c>
      <c r="F12" s="94">
        <f>('Balance Sheet Reported'!E70+'Balance Sheet Reported'!E73)/'Annual Inc Statement Reported'!E26</f>
        <v>4.3293729372937291</v>
      </c>
      <c r="G12" s="94">
        <f>('Balance Sheet Reported'!F70+'Balance Sheet Reported'!F73)/'Annual Inc Statement Reported'!F26</f>
        <v>4.432675044883303</v>
      </c>
      <c r="H12" s="94">
        <f>('Balance Sheet Reported'!G70+'Balance Sheet Reported'!G73)/'Annual Inc Statement Reported'!G26</f>
        <v>3.5290605095541401</v>
      </c>
      <c r="I12" s="94">
        <f>('Balance Sheet Reported'!H70+'Balance Sheet Reported'!H73)/'Annual Inc Statement Reported'!H26</f>
        <v>3.6300663227708179</v>
      </c>
      <c r="J12" s="94">
        <f>('Balance Sheet Reported'!M70+'Balance Sheet Reported'!M73)/'Annual Inc Statement Reported'!M26</f>
        <v>-8.8031662269129285</v>
      </c>
      <c r="K12" s="94" t="e">
        <f>('Balance Sheet Reported'!N70+'Balance Sheet Reported'!N73)/'Annual Inc Statement Reported'!N26</f>
        <v>#DIV/0!</v>
      </c>
      <c r="L12" s="94">
        <f>('Balance Sheet Reported'!M70+'Balance Sheet Reported'!M73)/'Annual Inc Statement Reported'!M26</f>
        <v>-8.8031662269129285</v>
      </c>
    </row>
    <row r="14" spans="2:14" x14ac:dyDescent="0.3">
      <c r="B14" s="294" t="s">
        <v>606</v>
      </c>
      <c r="C14" s="293"/>
      <c r="D14" s="293"/>
      <c r="E14" s="293"/>
      <c r="F14" s="293"/>
      <c r="G14" s="293"/>
      <c r="H14" s="293"/>
      <c r="I14" s="293"/>
      <c r="J14" s="293"/>
      <c r="K14" s="293"/>
      <c r="L14" s="293"/>
      <c r="M14" s="295"/>
      <c r="N14" s="295" t="s">
        <v>268</v>
      </c>
    </row>
    <row r="15" spans="2:14" x14ac:dyDescent="0.3">
      <c r="B15" s="294"/>
      <c r="C15" s="293">
        <v>2010</v>
      </c>
      <c r="D15" s="293">
        <v>2011</v>
      </c>
      <c r="E15" s="293">
        <v>2012</v>
      </c>
      <c r="F15" s="293">
        <v>2013</v>
      </c>
      <c r="G15" s="293">
        <v>2014</v>
      </c>
      <c r="H15" s="293">
        <v>2015</v>
      </c>
      <c r="I15" s="293">
        <v>2016</v>
      </c>
      <c r="J15" s="293">
        <v>2017</v>
      </c>
      <c r="K15" s="293">
        <v>2018</v>
      </c>
      <c r="L15" s="293">
        <v>2019</v>
      </c>
      <c r="M15" s="293">
        <v>2020</v>
      </c>
      <c r="N15" s="293">
        <v>2021</v>
      </c>
    </row>
    <row r="16" spans="2:14" x14ac:dyDescent="0.3">
      <c r="B16" s="52" t="s">
        <v>623</v>
      </c>
      <c r="C16" s="306">
        <f>'Annual Cash Flow Reported'!B13/'Annual Inc Statement Reported'!B13</f>
        <v>6.5826070832560729E-2</v>
      </c>
      <c r="D16" s="306">
        <f>'Annual Cash Flow Reported'!C13/'Annual Inc Statement Reported'!C13</f>
        <v>4.4436789528074408E-2</v>
      </c>
      <c r="E16" s="306">
        <f>'Annual Cash Flow Reported'!D13/'Annual Inc Statement Reported'!D13</f>
        <v>3.5396039603960393E-2</v>
      </c>
      <c r="F16" s="306">
        <f>'Annual Cash Flow Reported'!E13/'Annual Inc Statement Reported'!E13</f>
        <v>5.4030043611694396E-2</v>
      </c>
      <c r="G16" s="306">
        <f>'Annual Cash Flow Reported'!F13/'Annual Inc Statement Reported'!F13</f>
        <v>6.2160940325497287E-2</v>
      </c>
      <c r="H16" s="306">
        <f>'Annual Cash Flow Reported'!G13/'Annual Inc Statement Reported'!G13</f>
        <v>0.12921834438996249</v>
      </c>
      <c r="I16" s="306">
        <f>'Annual Cash Flow Reported'!H13/'Annual Inc Statement Reported'!H13</f>
        <v>0.1416502009947537</v>
      </c>
      <c r="J16" s="306">
        <f>'Annual Cash Flow Reported'!I13/'Annual Inc Statement Reported'!I13</f>
        <v>0.16847157272951022</v>
      </c>
      <c r="K16" s="306">
        <f>'Annual Cash Flow Reported'!J13/'Annual Inc Statement Reported'!J13</f>
        <v>0.19274565350219408</v>
      </c>
      <c r="L16" s="306">
        <f>'Annual Cash Flow Reported'!K13/'Annual Inc Statement Reported'!K13</f>
        <v>0.29857299670691545</v>
      </c>
      <c r="M16" s="306">
        <f>'Annual Cash Flow Reported'!L13/'Annual Inc Statement Reported'!L13</f>
        <v>-0.40339447968455339</v>
      </c>
      <c r="N16" s="306">
        <f>'Annual Cash Flow Reported'!M13/'Annual Inc Statement Reported'!M13</f>
        <v>-0.53491992882562278</v>
      </c>
    </row>
    <row r="17" spans="2:30" x14ac:dyDescent="0.3">
      <c r="B17" s="52" t="s">
        <v>607</v>
      </c>
      <c r="C17" s="307">
        <f>IF('Balance Sheet Reported'!B66&lt;0,30,IF('Balance Sheet Reported'!B75&lt;0,0,'Balance Sheet Reported'!B94))</f>
        <v>2.4552121529596649</v>
      </c>
      <c r="D17" s="307">
        <f>IF('Balance Sheet Reported'!C66&lt;0,30,IF('Balance Sheet Reported'!C75&lt;0,0,'Balance Sheet Reported'!C94))</f>
        <v>30</v>
      </c>
      <c r="E17" s="307">
        <f>IF('Balance Sheet Reported'!D66&lt;0,30,IF('Balance Sheet Reported'!D75&lt;0,0,'Balance Sheet Reported'!D94))</f>
        <v>30</v>
      </c>
      <c r="F17" s="307">
        <f>IF('Balance Sheet Reported'!E66&lt;0,30,IF('Balance Sheet Reported'!E75&lt;0,0,'Balance Sheet Reported'!E94))</f>
        <v>30</v>
      </c>
      <c r="G17" s="307">
        <f>IF('Balance Sheet Reported'!F66&lt;0,30,IF('Balance Sheet Reported'!F75&lt;0,0,'Balance Sheet Reported'!F94))</f>
        <v>30</v>
      </c>
      <c r="H17" s="307">
        <f>IF('Balance Sheet Reported'!G66&lt;0,30,IF('Balance Sheet Reported'!G75&lt;0,0,'Balance Sheet Reported'!G94))</f>
        <v>154.82499999999999</v>
      </c>
      <c r="I17" s="307">
        <f>IF('Balance Sheet Reported'!H66&lt;0,30,IF('Balance Sheet Reported'!H75&lt;0,0,'Balance Sheet Reported'!H94))</f>
        <v>5.6382280557834292</v>
      </c>
      <c r="J17" s="307">
        <f>IF('Balance Sheet Reported'!I66&lt;0,30,IF('Balance Sheet Reported'!I75&lt;0,0,'Balance Sheet Reported'!I94))</f>
        <v>1.7271382065699912</v>
      </c>
      <c r="K17" s="307">
        <f>IF('Balance Sheet Reported'!J66&lt;0,30,IF('Balance Sheet Reported'!J75&lt;0,0,'Balance Sheet Reported'!J94))</f>
        <v>1.5910894110466891</v>
      </c>
      <c r="L17" s="307">
        <f>IF('Balance Sheet Reported'!K66&lt;0,30,IF('Balance Sheet Reported'!K75&lt;0,0,'Balance Sheet Reported'!K94))</f>
        <v>0.76204545454545458</v>
      </c>
      <c r="M17" s="307">
        <f>IF('Balance Sheet Reported'!L66&lt;0,30,IF('Balance Sheet Reported'!L75&lt;0,0,'Balance Sheet Reported'!L94))</f>
        <v>3.2</v>
      </c>
      <c r="N17" s="307">
        <f>IF('Balance Sheet Reported'!M66&lt;0,30,IF('Balance Sheet Reported'!M75&lt;0,0,'Balance Sheet Reported'!M94))</f>
        <v>55.03448275862069</v>
      </c>
    </row>
    <row r="18" spans="2:30" x14ac:dyDescent="0.3">
      <c r="B18" s="52" t="s">
        <v>292</v>
      </c>
      <c r="C18" s="309">
        <f>'Annual Inc Statement Reported'!B97</f>
        <v>1.1464019851116625</v>
      </c>
      <c r="D18" s="309">
        <f>'Annual Inc Statement Reported'!C97</f>
        <v>1.1953801732435034</v>
      </c>
      <c r="E18" s="309">
        <f>'Annual Inc Statement Reported'!D97</f>
        <v>1.3299725022914757</v>
      </c>
      <c r="F18" s="309">
        <f>'Annual Inc Statement Reported'!E97</f>
        <v>1.4985163204747773</v>
      </c>
      <c r="G18" s="309">
        <f>'Annual Inc Statement Reported'!F97</f>
        <v>1.5914285714285714</v>
      </c>
      <c r="H18" s="309">
        <f>'Annual Inc Statement Reported'!G97</f>
        <v>2.1843478260869564</v>
      </c>
      <c r="I18" s="309">
        <f>'Annual Inc Statement Reported'!H97</f>
        <v>1.8886569241475295</v>
      </c>
      <c r="J18" s="309">
        <f>'Annual Inc Statement Reported'!I97</f>
        <v>2.0539956803455723</v>
      </c>
      <c r="K18" s="309">
        <f>'Annual Inc Statement Reported'!J97</f>
        <v>2.1827445652173911</v>
      </c>
      <c r="L18" s="309">
        <f>'Annual Inc Statement Reported'!K97</f>
        <v>2.3702737940026077</v>
      </c>
      <c r="M18" s="309">
        <f>'Annual Inc Statement Reported'!L97</f>
        <v>-0.69896193771626303</v>
      </c>
      <c r="N18" s="309">
        <f>'Annual Inc Statement Reported'!M97</f>
        <v>-1.1443236714975846</v>
      </c>
    </row>
    <row r="19" spans="2:30" x14ac:dyDescent="0.3">
      <c r="B19" s="52" t="s">
        <v>608</v>
      </c>
      <c r="C19" s="309">
        <f>('Balance Sheet Reported'!B49+(-'Annual Inc Statement Reported'!B27*6))/(-'Annual Inc Statement Reported'!B27+'Balance Sheet Reported'!B36+'Balance Sheet Reported'!B35)</f>
        <v>7.0834312573443006</v>
      </c>
      <c r="D19" s="309">
        <f>('Balance Sheet Reported'!C49+(-'Annual Inc Statement Reported'!C27*6))/(-'Annual Inc Statement Reported'!C27+'Balance Sheet Reported'!C36+'Balance Sheet Reported'!C35)</f>
        <v>7.7944664031620556</v>
      </c>
      <c r="E19" s="309">
        <f>('Balance Sheet Reported'!D49+(-'Annual Inc Statement Reported'!D27*6))/(-'Annual Inc Statement Reported'!D27+'Balance Sheet Reported'!D36+'Balance Sheet Reported'!D35)</f>
        <v>6.4904988123515439</v>
      </c>
      <c r="F19" s="309">
        <f>('Balance Sheet Reported'!E49+(-'Annual Inc Statement Reported'!E27*6))/(-'Annual Inc Statement Reported'!E27+'Balance Sheet Reported'!E36+'Balance Sheet Reported'!E35)</f>
        <v>8.4783236994219653</v>
      </c>
      <c r="G19" s="309">
        <f>('Balance Sheet Reported'!F49+(-'Annual Inc Statement Reported'!F27*6))/(-'Annual Inc Statement Reported'!F27+'Balance Sheet Reported'!F36+'Balance Sheet Reported'!F35)</f>
        <v>8.293601003764115</v>
      </c>
      <c r="H19" s="309">
        <f>('Balance Sheet Reported'!G49+(-'Annual Inc Statement Reported'!G27*6))/(-'Annual Inc Statement Reported'!G27+'Balance Sheet Reported'!G36+'Balance Sheet Reported'!G35)</f>
        <v>9.108323831242874</v>
      </c>
      <c r="I19" s="309">
        <f>('Balance Sheet Reported'!H49+(-'Annual Inc Statement Reported'!H27*6))/(-'Annual Inc Statement Reported'!H27+'Balance Sheet Reported'!H36+'Balance Sheet Reported'!H35)</f>
        <v>7.4277159965782724</v>
      </c>
      <c r="J19" s="309">
        <f>('Balance Sheet Reported'!I49+(-'Annual Inc Statement Reported'!I27*6))/(-'Annual Inc Statement Reported'!I27+'Balance Sheet Reported'!I36+'Balance Sheet Reported'!I35)</f>
        <v>7.2112436115843268</v>
      </c>
      <c r="K19" s="309">
        <f>('Balance Sheet Reported'!J49+(-'Annual Inc Statement Reported'!J27*6))/(-'Annual Inc Statement Reported'!J27+'Balance Sheet Reported'!J36+'Balance Sheet Reported'!J35)</f>
        <v>8.4666030534351151</v>
      </c>
      <c r="L19" s="309">
        <f>('Balance Sheet Reported'!K49+(-'Annual Inc Statement Reported'!K27*6))/(-'Annual Inc Statement Reported'!K27+'Balance Sheet Reported'!K36+'Balance Sheet Reported'!K35)</f>
        <v>6.5878489326765193</v>
      </c>
      <c r="M19" s="309">
        <f>('Balance Sheet Reported'!L49+(-'Annual Inc Statement Reported'!L27*6))/(-'Annual Inc Statement Reported'!L27+'Balance Sheet Reported'!L36+'Balance Sheet Reported'!L35)</f>
        <v>6.2645413870246083</v>
      </c>
      <c r="N19" s="309">
        <f>('Balance Sheet Reported'!M49+(-'Annual Inc Statement Reported'!M27*6))/(-'Annual Inc Statement Reported'!M27+'Balance Sheet Reported'!M36+'Balance Sheet Reported'!M35)</f>
        <v>15.435467980295567</v>
      </c>
    </row>
    <row r="20" spans="2:30" x14ac:dyDescent="0.3">
      <c r="B20" s="52" t="s">
        <v>609</v>
      </c>
      <c r="C20" s="306">
        <f>'Balance Sheet Reported'!B86</f>
        <v>0.20322640459855368</v>
      </c>
      <c r="D20" s="306">
        <f>'Balance Sheet Reported'!C86</f>
        <v>0.18076128143300035</v>
      </c>
      <c r="E20" s="306">
        <f>'Balance Sheet Reported'!D86</f>
        <v>0.16716171617161715</v>
      </c>
      <c r="F20" s="306">
        <f>'Balance Sheet Reported'!E86</f>
        <v>0.1783233726376999</v>
      </c>
      <c r="G20" s="306">
        <f>'Balance Sheet Reported'!F86</f>
        <v>0.17141350210970463</v>
      </c>
      <c r="H20" s="306">
        <f>'Balance Sheet Reported'!G86</f>
        <v>0.19267378136717622</v>
      </c>
      <c r="I20" s="306">
        <f>'Balance Sheet Reported'!H86</f>
        <v>0.20297063432581591</v>
      </c>
      <c r="J20" s="306">
        <f>'Balance Sheet Reported'!I86</f>
        <v>0.23406349987693822</v>
      </c>
      <c r="K20" s="306">
        <f>'Balance Sheet Reported'!J86</f>
        <v>0.26145642392934509</v>
      </c>
      <c r="L20" s="306">
        <f>'Balance Sheet Reported'!K86</f>
        <v>0.30782499607966129</v>
      </c>
      <c r="M20" s="306">
        <f>'Balance Sheet Reported'!L86</f>
        <v>1.2859591976684381</v>
      </c>
      <c r="N20" s="306">
        <f>'Balance Sheet Reported'!M86</f>
        <v>1.9354982206405693</v>
      </c>
    </row>
    <row r="21" spans="2:30" x14ac:dyDescent="0.3">
      <c r="B21" s="52" t="s">
        <v>413</v>
      </c>
      <c r="C21" s="306">
        <f>('Annual Inc Statement Reported'!B30+'Annual Inc Statement Reported'!B38+'Annual Inc Statement Reported'!B39)/'Annual Inc Statement Reported'!B13</f>
        <v>2.7813832746152419E-4</v>
      </c>
      <c r="D21" s="306">
        <f>('Annual Inc Statement Reported'!C30+'Annual Inc Statement Reported'!C38+'Annual Inc Statement Reported'!C39)/'Annual Inc Statement Reported'!C13</f>
        <v>-8.6978987254564249E-3</v>
      </c>
      <c r="E21" s="306">
        <f>('Annual Inc Statement Reported'!D30+'Annual Inc Statement Reported'!D38+'Annual Inc Statement Reported'!D39)/'Annual Inc Statement Reported'!D13</f>
        <v>1.5511551155115511E-2</v>
      </c>
      <c r="F21" s="306">
        <f>('Annual Inc Statement Reported'!E30+'Annual Inc Statement Reported'!E38+'Annual Inc Statement Reported'!E39)/'Annual Inc Statement Reported'!E13</f>
        <v>2.4228719108383139E-2</v>
      </c>
      <c r="G21" s="306">
        <f>('Annual Inc Statement Reported'!F30+'Annual Inc Statement Reported'!F38+'Annual Inc Statement Reported'!F39)/'Annual Inc Statement Reported'!F13</f>
        <v>4.2344786015672091E-2</v>
      </c>
      <c r="H21" s="306">
        <f>('Annual Inc Statement Reported'!G30+'Annual Inc Statement Reported'!G38+'Annual Inc Statement Reported'!G39)/'Annual Inc Statement Reported'!G13</f>
        <v>8.876550331698875E-2</v>
      </c>
      <c r="I21" s="306">
        <f>('Annual Inc Statement Reported'!H30+'Annual Inc Statement Reported'!H38+'Annual Inc Statement Reported'!H39)/'Annual Inc Statement Reported'!H13</f>
        <v>7.9580295700756282E-2</v>
      </c>
      <c r="J21" s="306">
        <f>('Annual Inc Statement Reported'!I30+'Annual Inc Statement Reported'!I38+'Annual Inc Statement Reported'!I39)/'Annual Inc Statement Reported'!I13</f>
        <v>7.2544917548609408E-2</v>
      </c>
      <c r="K21" s="306">
        <f>('Annual Inc Statement Reported'!J30+'Annual Inc Statement Reported'!J38+'Annual Inc Statement Reported'!J39)/'Annual Inc Statement Reported'!J13</f>
        <v>5.9545631283674946E-2</v>
      </c>
      <c r="L21" s="306">
        <f>('Annual Inc Statement Reported'!K30+'Annual Inc Statement Reported'!K38+'Annual Inc Statement Reported'!K39)/'Annual Inc Statement Reported'!K13</f>
        <v>6.9729757984423185E-2</v>
      </c>
      <c r="M21" s="306">
        <f>('Annual Inc Statement Reported'!L30+'Annual Inc Statement Reported'!L38+'Annual Inc Statement Reported'!L39)/'Annual Inc Statement Reported'!L13</f>
        <v>-0.68386764957997603</v>
      </c>
      <c r="N21" s="306">
        <f>('Annual Inc Statement Reported'!M30+'Annual Inc Statement Reported'!M38+'Annual Inc Statement Reported'!M39)/'Annual Inc Statement Reported'!M13</f>
        <v>-0.93216192170818502</v>
      </c>
    </row>
    <row r="22" spans="2:30" x14ac:dyDescent="0.3">
      <c r="B22" s="52" t="s">
        <v>610</v>
      </c>
      <c r="C22" s="308">
        <f>'Balance Sheet US$'!B68</f>
        <v>12947.742626894065</v>
      </c>
      <c r="D22" s="308">
        <f>'Balance Sheet US$'!C68</f>
        <v>11800.269938141035</v>
      </c>
      <c r="E22" s="308">
        <f>'Balance Sheet US$'!D68</f>
        <v>11440.027024928975</v>
      </c>
      <c r="F22" s="308">
        <f>'Balance Sheet US$'!E68</f>
        <v>11068.403873742474</v>
      </c>
      <c r="G22" s="308">
        <f>'Balance Sheet US$'!F68</f>
        <v>11291.3433311425</v>
      </c>
      <c r="H22" s="308">
        <f>'Balance Sheet US$'!G68</f>
        <v>11413.712814016186</v>
      </c>
      <c r="I22" s="308">
        <f>'Balance Sheet US$'!H68</f>
        <v>13698.413256736549</v>
      </c>
      <c r="J22" s="308">
        <f>'Balance Sheet US$'!I68</f>
        <v>16790.800071535858</v>
      </c>
      <c r="K22" s="308">
        <f>'Balance Sheet US$'!J68</f>
        <v>16075.075295673254</v>
      </c>
      <c r="L22" s="308">
        <f>'Balance Sheet US$'!K68</f>
        <v>21369.515011547348</v>
      </c>
      <c r="M22" s="308">
        <f>'Balance Sheet US$'!L68</f>
        <v>21704.826964942571</v>
      </c>
      <c r="N22" s="308">
        <f>'Balance Sheet US$'!M68</f>
        <v>24443.368828654406</v>
      </c>
      <c r="P22" s="52">
        <f>'Balance Sheet Reported'!M33-'Balance Sheet Reported'!M28</f>
        <v>9672</v>
      </c>
    </row>
    <row r="23" spans="2:30" x14ac:dyDescent="0.3">
      <c r="B23" s="52" t="s">
        <v>611</v>
      </c>
      <c r="C23" s="307">
        <f>IF('Balance Sheet Reported'!B75&lt; 0, 0, IF('Annual Inc Statement Reported'!B26&lt;0, 25, 'Balance Sheet Reported'!B93))</f>
        <v>3.3816738816738816</v>
      </c>
      <c r="D23" s="307">
        <f>IF('Balance Sheet Reported'!C75&lt; 0, 0, IF('Annual Inc Statement Reported'!C26&lt;0, 25, 'Balance Sheet Reported'!C93))</f>
        <v>3.6843800322061191</v>
      </c>
      <c r="E23" s="307">
        <f>IF('Balance Sheet Reported'!D75&lt; 0, 0, IF('Annual Inc Statement Reported'!D26&lt;0, 25, 'Balance Sheet Reported'!D93))</f>
        <v>2.9503790489317714</v>
      </c>
      <c r="F23" s="307">
        <f>IF('Balance Sheet Reported'!E75&lt; 0, 0, IF('Annual Inc Statement Reported'!E26&lt;0, 25, 'Balance Sheet Reported'!E93))</f>
        <v>2.8719471947194721</v>
      </c>
      <c r="G23" s="307">
        <f>IF('Balance Sheet Reported'!F75&lt; 0, 0, IF('Annual Inc Statement Reported'!F26&lt;0, 25, 'Balance Sheet Reported'!F93))</f>
        <v>3.0712148414123281</v>
      </c>
      <c r="H23" s="307">
        <f>IF('Balance Sheet Reported'!G75&lt; 0, 0, IF('Annual Inc Statement Reported'!G26&lt;0, 25, 'Balance Sheet Reported'!G93))</f>
        <v>2.4653662420382165</v>
      </c>
      <c r="I23" s="307">
        <f>IF('Balance Sheet Reported'!H75&lt; 0, 0, IF('Annual Inc Statement Reported'!H26&lt;0, 25, 'Balance Sheet Reported'!H93))</f>
        <v>2.5324244657332349</v>
      </c>
      <c r="J23" s="307">
        <f>IF('Balance Sheet Reported'!I75&lt; 0, 0, IF('Annual Inc Statement Reported'!I26&lt;0, 25, 'Balance Sheet Reported'!I93))</f>
        <v>2.0455660708026637</v>
      </c>
      <c r="K23" s="307">
        <f>IF('Balance Sheet Reported'!J75&lt; 0, 0, IF('Annual Inc Statement Reported'!J26&lt;0, 25, 'Balance Sheet Reported'!J93))</f>
        <v>1.6227824463118581</v>
      </c>
      <c r="L23" s="307">
        <f>IF('Balance Sheet Reported'!K75&lt; 0, 0, IF('Annual Inc Statement Reported'!K26&lt;0, 25, 'Balance Sheet Reported'!K93))</f>
        <v>0.92216721672167212</v>
      </c>
      <c r="M23" s="307">
        <f>IF('Balance Sheet Reported'!L75&lt; 0, 0, IF('Annual Inc Statement Reported'!L26&lt;0, 25, 'Balance Sheet Reported'!L93))</f>
        <v>25</v>
      </c>
      <c r="N23" s="307">
        <f>IF('Balance Sheet Reported'!M75&lt; 0, 0, IF('Annual Inc Statement Reported'!M26&lt;0, 25, 'Balance Sheet Reported'!M93))</f>
        <v>25</v>
      </c>
      <c r="P23" s="52">
        <f>'Balance Sheet Reported'!M43</f>
        <v>6149</v>
      </c>
    </row>
    <row r="24" spans="2:30" s="183" customFormat="1" x14ac:dyDescent="0.3">
      <c r="B24" s="183" t="s">
        <v>622</v>
      </c>
      <c r="C24" s="307">
        <f>('Balance Sheet Reported'!B33-'Balance Sheet Reported'!B28)/('Balance Sheet Reported'!B43-'Annual Inc Statement Reported'!B27)</f>
        <v>0.96537558685446012</v>
      </c>
      <c r="D24" s="307">
        <f>('Balance Sheet Reported'!C33-'Balance Sheet Reported'!C28)/('Balance Sheet Reported'!C43-'Annual Inc Statement Reported'!C27)</f>
        <v>0.90080275229357798</v>
      </c>
      <c r="E24" s="307">
        <f>('Balance Sheet Reported'!D33-'Balance Sheet Reported'!D28)/('Balance Sheet Reported'!D43-'Annual Inc Statement Reported'!D27)</f>
        <v>0.80621876735147135</v>
      </c>
      <c r="F24" s="307">
        <f>('Balance Sheet Reported'!E33-'Balance Sheet Reported'!E28)/('Balance Sheet Reported'!E43-'Annual Inc Statement Reported'!E27)</f>
        <v>0.89851767388825543</v>
      </c>
      <c r="G24" s="307">
        <f>('Balance Sheet Reported'!F33-'Balance Sheet Reported'!F28)/('Balance Sheet Reported'!F43-'Annual Inc Statement Reported'!F27)</f>
        <v>0.86103896103896105</v>
      </c>
      <c r="H24" s="307">
        <f>('Balance Sheet Reported'!G33-'Balance Sheet Reported'!G28)/('Balance Sheet Reported'!G43-'Annual Inc Statement Reported'!G27)</f>
        <v>0.94285031085604976</v>
      </c>
      <c r="I24" s="307">
        <f>('Balance Sheet Reported'!H33-'Balance Sheet Reported'!H28)/('Balance Sheet Reported'!H43-'Annual Inc Statement Reported'!H27)</f>
        <v>0.85161686451084728</v>
      </c>
      <c r="J24" s="307">
        <f>('Balance Sheet Reported'!I33-'Balance Sheet Reported'!I28)/('Balance Sheet Reported'!I43-'Annual Inc Statement Reported'!I27)</f>
        <v>0.91515369404997304</v>
      </c>
      <c r="K24" s="307">
        <f>('Balance Sheet Reported'!J33-'Balance Sheet Reported'!J28)/('Balance Sheet Reported'!J43-'Annual Inc Statement Reported'!J27)</f>
        <v>1.0713530655391121</v>
      </c>
      <c r="L24" s="307">
        <f>('Balance Sheet Reported'!K33-'Balance Sheet Reported'!K28)/('Balance Sheet Reported'!K43-'Annual Inc Statement Reported'!K27)</f>
        <v>0.93942122186495181</v>
      </c>
      <c r="M24" s="307">
        <f>('Balance Sheet Reported'!L33-'Balance Sheet Reported'!L28)/('Balance Sheet Reported'!L43-'Annual Inc Statement Reported'!L27)</f>
        <v>1.1913433253957137</v>
      </c>
      <c r="N24" s="307">
        <f>('Balance Sheet Reported'!M33-'Balance Sheet Reported'!M28)/('Balance Sheet Reported'!M43-'Annual Inc Statement Reported'!M27)</f>
        <v>1.572938689217759</v>
      </c>
      <c r="P24" s="318">
        <f>P22/P23</f>
        <v>1.572938689217759</v>
      </c>
    </row>
    <row r="25" spans="2:30" x14ac:dyDescent="0.3">
      <c r="P25" s="52">
        <f>P23-'Annual Inc Statement Reported'!M27</f>
        <v>6149</v>
      </c>
    </row>
    <row r="26" spans="2:30" x14ac:dyDescent="0.3">
      <c r="B26" s="52" t="s">
        <v>627</v>
      </c>
      <c r="C26" s="296">
        <f>('Annual Inc Statement Reported'!B30+'Annual Inc Statement Reported'!B38+'Annual Inc Statement Reported'!B39)/'Annual Inc Statement Reported'!B13</f>
        <v>2.7813832746152419E-4</v>
      </c>
      <c r="D26" s="296">
        <f>('Annual Inc Statement Reported'!C30+'Annual Inc Statement Reported'!C38+'Annual Inc Statement Reported'!C39)/'Annual Inc Statement Reported'!C13</f>
        <v>-8.6978987254564249E-3</v>
      </c>
      <c r="E26" s="296">
        <f>('Annual Inc Statement Reported'!D30+'Annual Inc Statement Reported'!D38+'Annual Inc Statement Reported'!D39)/'Annual Inc Statement Reported'!D13</f>
        <v>1.5511551155115511E-2</v>
      </c>
      <c r="F26" s="296">
        <f>('Annual Inc Statement Reported'!E30+'Annual Inc Statement Reported'!E38+'Annual Inc Statement Reported'!E39)/'Annual Inc Statement Reported'!E13</f>
        <v>2.4228719108383139E-2</v>
      </c>
      <c r="G26" s="296">
        <f>('Annual Inc Statement Reported'!F30+'Annual Inc Statement Reported'!F38+'Annual Inc Statement Reported'!F39)/'Annual Inc Statement Reported'!F13</f>
        <v>4.2344786015672091E-2</v>
      </c>
      <c r="H26" s="296">
        <f>('Annual Inc Statement Reported'!G30+'Annual Inc Statement Reported'!G38+'Annual Inc Statement Reported'!G39)/'Annual Inc Statement Reported'!G13</f>
        <v>8.876550331698875E-2</v>
      </c>
      <c r="I26" s="296">
        <f>('Annual Inc Statement Reported'!H30+'Annual Inc Statement Reported'!H38+'Annual Inc Statement Reported'!H39)/'Annual Inc Statement Reported'!H13</f>
        <v>7.9580295700756282E-2</v>
      </c>
      <c r="J26" s="296">
        <f>('Annual Inc Statement Reported'!I30+'Annual Inc Statement Reported'!I38+'Annual Inc Statement Reported'!I39)/'Annual Inc Statement Reported'!I13</f>
        <v>7.2544917548609408E-2</v>
      </c>
      <c r="K26" s="296">
        <f>('Annual Inc Statement Reported'!J30+'Annual Inc Statement Reported'!J38+'Annual Inc Statement Reported'!J39)/'Annual Inc Statement Reported'!J13</f>
        <v>5.9545631283674946E-2</v>
      </c>
      <c r="L26" s="296">
        <f>('Annual Inc Statement Reported'!K30+'Annual Inc Statement Reported'!K38+'Annual Inc Statement Reported'!K39)/'Annual Inc Statement Reported'!K13</f>
        <v>6.9729757984423185E-2</v>
      </c>
      <c r="M26" s="296">
        <f>('Annual Inc Statement Reported'!L30+'Annual Inc Statement Reported'!L38+'Annual Inc Statement Reported'!L39)/'Annual Inc Statement Reported'!L13</f>
        <v>-0.68386764957997603</v>
      </c>
      <c r="N26" s="296">
        <f>('Annual Inc Statement Reported'!M30+'Annual Inc Statement Reported'!M38+'Annual Inc Statement Reported'!M39)/'Annual Inc Statement Reported'!M13</f>
        <v>-0.93216192170818502</v>
      </c>
      <c r="P26" s="319">
        <f>P22/P25</f>
        <v>1.572938689217759</v>
      </c>
    </row>
    <row r="29" spans="2:30" x14ac:dyDescent="0.3">
      <c r="B29" s="110" t="s">
        <v>315</v>
      </c>
      <c r="C29" s="321"/>
      <c r="D29" s="321"/>
      <c r="E29" s="321"/>
      <c r="F29" s="321"/>
      <c r="G29" s="321"/>
      <c r="H29" s="321"/>
      <c r="I29" s="152"/>
      <c r="J29" s="152"/>
      <c r="K29" s="152"/>
      <c r="L29" s="152"/>
      <c r="M29" s="152"/>
      <c r="N29" s="152" t="s">
        <v>268</v>
      </c>
      <c r="O29" s="322"/>
      <c r="P29" s="322" t="s">
        <v>406</v>
      </c>
      <c r="R29" s="105" t="s">
        <v>315</v>
      </c>
      <c r="S29" s="108"/>
      <c r="T29" s="108"/>
      <c r="U29" s="108"/>
      <c r="V29" s="108"/>
      <c r="W29" s="108"/>
      <c r="X29" s="108"/>
      <c r="Y29" s="148"/>
      <c r="Z29" s="148"/>
      <c r="AA29" s="109"/>
      <c r="AB29" s="148"/>
      <c r="AC29" s="219" t="s">
        <v>406</v>
      </c>
      <c r="AD29" s="220" t="s">
        <v>406</v>
      </c>
    </row>
    <row r="30" spans="2:30" x14ac:dyDescent="0.3">
      <c r="B30" s="110" t="s">
        <v>612</v>
      </c>
      <c r="C30" s="298">
        <v>2010</v>
      </c>
      <c r="D30" s="298">
        <v>2011</v>
      </c>
      <c r="E30" s="298">
        <v>2012</v>
      </c>
      <c r="F30" s="298">
        <v>2013</v>
      </c>
      <c r="G30" s="298">
        <v>2014</v>
      </c>
      <c r="H30" s="298">
        <v>2015</v>
      </c>
      <c r="I30" s="298">
        <v>2016</v>
      </c>
      <c r="J30" s="298">
        <v>2017</v>
      </c>
      <c r="K30" s="298">
        <v>2018</v>
      </c>
      <c r="L30" s="298">
        <v>2019</v>
      </c>
      <c r="M30" s="298">
        <v>2020</v>
      </c>
      <c r="N30" s="298">
        <v>2020</v>
      </c>
      <c r="O30" s="110"/>
      <c r="P30" s="110">
        <v>2020</v>
      </c>
      <c r="R30" s="106" t="str">
        <f>Inputs!E18</f>
        <v>CAD</v>
      </c>
      <c r="S30" s="298">
        <v>2010</v>
      </c>
      <c r="T30" s="298">
        <v>2011</v>
      </c>
      <c r="U30" s="298">
        <v>2012</v>
      </c>
      <c r="V30" s="298">
        <v>2013</v>
      </c>
      <c r="W30" s="298">
        <v>2014</v>
      </c>
      <c r="X30" s="298">
        <v>2015</v>
      </c>
      <c r="Y30" s="298">
        <v>2016</v>
      </c>
      <c r="Z30" s="298">
        <v>2017</v>
      </c>
      <c r="AA30" s="299">
        <v>2018</v>
      </c>
      <c r="AB30" s="110"/>
      <c r="AC30" s="110">
        <v>2016</v>
      </c>
      <c r="AD30" s="111">
        <v>2017</v>
      </c>
    </row>
    <row r="31" spans="2:30" x14ac:dyDescent="0.3">
      <c r="B31" s="323" t="s">
        <v>316</v>
      </c>
      <c r="C31" s="112"/>
      <c r="D31" s="112"/>
      <c r="E31" s="112"/>
      <c r="F31" s="112"/>
      <c r="G31" s="112"/>
      <c r="H31" s="112"/>
      <c r="I31" s="112"/>
      <c r="J31" s="112"/>
      <c r="K31" s="112"/>
      <c r="L31" s="112"/>
      <c r="M31" s="112"/>
      <c r="N31" s="112"/>
      <c r="O31" s="112"/>
      <c r="P31" s="112"/>
      <c r="R31" s="100" t="s">
        <v>316</v>
      </c>
      <c r="S31" s="112"/>
      <c r="T31" s="112"/>
      <c r="U31" s="112"/>
      <c r="V31" s="112"/>
      <c r="W31" s="112"/>
      <c r="X31" s="112"/>
      <c r="Y31" s="112"/>
      <c r="Z31" s="112"/>
      <c r="AA31" s="113"/>
      <c r="AB31" s="112"/>
      <c r="AC31" s="112"/>
      <c r="AD31" s="113"/>
    </row>
    <row r="32" spans="2:30" x14ac:dyDescent="0.3">
      <c r="B32" s="324" t="s">
        <v>328</v>
      </c>
      <c r="C32" s="114">
        <f>'Annual Operational Data'!B33</f>
        <v>63496</v>
      </c>
      <c r="D32" s="114">
        <f>'Annual Operational Data'!C33</f>
        <v>66460</v>
      </c>
      <c r="E32" s="114">
        <f>'Annual Operational Data'!D33</f>
        <v>67269</v>
      </c>
      <c r="F32" s="114">
        <f>'Annual Operational Data'!E33</f>
        <v>68573</v>
      </c>
      <c r="G32" s="114">
        <f>'Annual Operational Data'!F33</f>
        <v>73889</v>
      </c>
      <c r="H32" s="114">
        <f>'Annual Operational Data'!G33</f>
        <v>80871</v>
      </c>
      <c r="I32" s="114">
        <f>'Annual Operational Data'!H33</f>
        <v>92726</v>
      </c>
      <c r="J32" s="114">
        <f>'Annual Operational Data'!I33</f>
        <v>103492</v>
      </c>
      <c r="K32" s="114">
        <f>'Annual Operational Data'!J33</f>
        <v>110866</v>
      </c>
      <c r="L32" s="114">
        <f>'Annual Operational Data'!K33</f>
        <v>112814</v>
      </c>
      <c r="M32" s="114">
        <f>'Annual Operational Data'!L33</f>
        <v>37703</v>
      </c>
      <c r="N32" s="114">
        <f>'Annual Operational Data'!M33</f>
        <v>25327</v>
      </c>
      <c r="O32" s="114"/>
      <c r="P32" s="114"/>
      <c r="R32" s="101" t="s">
        <v>328</v>
      </c>
      <c r="S32" s="114">
        <f>'Annual Operational Data'!B33</f>
        <v>63496</v>
      </c>
      <c r="T32" s="114">
        <f>'Annual Operational Data'!C33</f>
        <v>66460</v>
      </c>
      <c r="U32" s="114">
        <f>'Annual Operational Data'!D33</f>
        <v>67269</v>
      </c>
      <c r="V32" s="114">
        <f>'Annual Operational Data'!E33</f>
        <v>68573</v>
      </c>
      <c r="W32" s="114">
        <f>'Annual Operational Data'!F33</f>
        <v>73889</v>
      </c>
      <c r="X32" s="114">
        <f>'Annual Operational Data'!G33</f>
        <v>80871</v>
      </c>
      <c r="Y32" s="114">
        <f>'Annual Operational Data'!H33</f>
        <v>92726</v>
      </c>
      <c r="Z32" s="114">
        <f>'Annual Operational Data'!I33</f>
        <v>103492</v>
      </c>
      <c r="AA32" s="115">
        <f>'Annual Operational Data'!J33</f>
        <v>110866</v>
      </c>
      <c r="AB32" s="114"/>
      <c r="AC32" s="114">
        <f>+'Interim Operational Data'!T33</f>
        <v>32457</v>
      </c>
      <c r="AD32" s="115">
        <f>'Interim Operational Data'!X33</f>
        <v>5949</v>
      </c>
    </row>
    <row r="33" spans="2:30" x14ac:dyDescent="0.3">
      <c r="B33" s="325" t="s">
        <v>317</v>
      </c>
      <c r="C33" s="112"/>
      <c r="D33" s="116">
        <f>IFERROR((D32/C32)-1,"")</f>
        <v>4.668010583343829E-2</v>
      </c>
      <c r="E33" s="116">
        <f t="shared" ref="E33:L33" si="0">IFERROR((E32/D32)-1,"")</f>
        <v>1.2172735479987873E-2</v>
      </c>
      <c r="F33" s="116">
        <f t="shared" si="0"/>
        <v>1.9384857809689349E-2</v>
      </c>
      <c r="G33" s="116">
        <f t="shared" si="0"/>
        <v>7.7523223426129828E-2</v>
      </c>
      <c r="H33" s="116">
        <f t="shared" si="0"/>
        <v>9.4493090987833206E-2</v>
      </c>
      <c r="I33" s="116">
        <f t="shared" si="0"/>
        <v>0.14659148520483245</v>
      </c>
      <c r="J33" s="116">
        <f t="shared" si="0"/>
        <v>0.11610551517373757</v>
      </c>
      <c r="K33" s="116">
        <f t="shared" si="0"/>
        <v>7.1251884203609839E-2</v>
      </c>
      <c r="L33" s="116">
        <f t="shared" si="0"/>
        <v>1.7570761098984367E-2</v>
      </c>
      <c r="M33" s="116">
        <f t="shared" ref="M33" si="1">IFERROR((M32/L32)-1,"")</f>
        <v>-0.66579502544010494</v>
      </c>
      <c r="N33" s="116">
        <f t="shared" ref="N33" si="2">IFERROR((N32/M32)-1,"")</f>
        <v>-0.32824974139988861</v>
      </c>
      <c r="O33" s="116"/>
      <c r="P33" s="116"/>
      <c r="R33" s="102" t="s">
        <v>317</v>
      </c>
      <c r="S33" s="112"/>
      <c r="T33" s="116">
        <f>IFERROR((T32/S32)-1,"")</f>
        <v>4.668010583343829E-2</v>
      </c>
      <c r="U33" s="116">
        <f t="shared" ref="U33" si="3">IFERROR((U32/T32)-1,"")</f>
        <v>1.2172735479987873E-2</v>
      </c>
      <c r="V33" s="116">
        <f t="shared" ref="V33" si="4">IFERROR((V32/U32)-1,"")</f>
        <v>1.9384857809689349E-2</v>
      </c>
      <c r="W33" s="116">
        <f t="shared" ref="W33" si="5">IFERROR((W32/V32)-1,"")</f>
        <v>7.7523223426129828E-2</v>
      </c>
      <c r="X33" s="116">
        <f t="shared" ref="X33" si="6">IFERROR((X32/W32)-1,"")</f>
        <v>9.4493090987833206E-2</v>
      </c>
      <c r="Y33" s="116">
        <f t="shared" ref="Y33" si="7">IFERROR((Y32/X32)-1,"")</f>
        <v>0.14659148520483245</v>
      </c>
      <c r="Z33" s="116">
        <f t="shared" ref="Z33" si="8">IFERROR((Z32/Y32)-1,"")</f>
        <v>0.11610551517373757</v>
      </c>
      <c r="AA33" s="117">
        <f t="shared" ref="AA33" si="9">IFERROR((AA32/Z32)-1,"")</f>
        <v>7.1251884203609839E-2</v>
      </c>
      <c r="AB33" s="116"/>
      <c r="AC33" s="116"/>
      <c r="AD33" s="117">
        <f>(AD32/AC32)-1</f>
        <v>-0.81671134115907207</v>
      </c>
    </row>
    <row r="34" spans="2:30" x14ac:dyDescent="0.3">
      <c r="B34" s="324" t="s">
        <v>329</v>
      </c>
      <c r="C34" s="114">
        <f>'Annual Operational Data'!B31</f>
        <v>51875</v>
      </c>
      <c r="D34" s="114">
        <f>'Annual Operational Data'!C31</f>
        <v>54223</v>
      </c>
      <c r="E34" s="114">
        <f>'Annual Operational Data'!D31</f>
        <v>55646</v>
      </c>
      <c r="F34" s="114">
        <f>'Annual Operational Data'!E31</f>
        <v>56791</v>
      </c>
      <c r="G34" s="114">
        <f>'Annual Operational Data'!F31</f>
        <v>61616</v>
      </c>
      <c r="H34" s="114">
        <f>'Annual Operational Data'!G31</f>
        <v>67545</v>
      </c>
      <c r="I34" s="114">
        <f>'Annual Operational Data'!H31</f>
        <v>76481</v>
      </c>
      <c r="J34" s="114">
        <f>'Annual Operational Data'!I31</f>
        <v>85137</v>
      </c>
      <c r="K34" s="114">
        <f>'Annual Operational Data'!J31</f>
        <v>92360</v>
      </c>
      <c r="L34" s="114">
        <f>'Annual Operational Data'!K31</f>
        <v>94113</v>
      </c>
      <c r="M34" s="114">
        <f>'Annual Operational Data'!L31</f>
        <v>23239</v>
      </c>
      <c r="N34" s="114">
        <f>'Annual Operational Data'!M31</f>
        <v>13865</v>
      </c>
      <c r="O34" s="114"/>
      <c r="P34" s="114"/>
      <c r="R34" s="101" t="s">
        <v>329</v>
      </c>
      <c r="S34" s="114">
        <f>'Annual Operational Data'!B31</f>
        <v>51875</v>
      </c>
      <c r="T34" s="114">
        <f>'Annual Operational Data'!C31</f>
        <v>54223</v>
      </c>
      <c r="U34" s="114">
        <f>'Annual Operational Data'!D31</f>
        <v>55646</v>
      </c>
      <c r="V34" s="114">
        <f>'Annual Operational Data'!E31</f>
        <v>56791</v>
      </c>
      <c r="W34" s="114">
        <f>'Annual Operational Data'!F31</f>
        <v>61616</v>
      </c>
      <c r="X34" s="114">
        <f>'Annual Operational Data'!G31</f>
        <v>67545</v>
      </c>
      <c r="Y34" s="114">
        <f>'Annual Operational Data'!H31</f>
        <v>76481</v>
      </c>
      <c r="Z34" s="114">
        <f>'Annual Operational Data'!I31</f>
        <v>85137</v>
      </c>
      <c r="AA34" s="115">
        <f>'Annual Operational Data'!J31</f>
        <v>92360</v>
      </c>
      <c r="AB34" s="114"/>
      <c r="AC34" s="114">
        <f>'Interim Operational Data'!T31</f>
        <v>27954</v>
      </c>
      <c r="AD34" s="115">
        <f>'Interim Operational Data'!X31</f>
        <v>2517</v>
      </c>
    </row>
    <row r="35" spans="2:30" x14ac:dyDescent="0.3">
      <c r="B35" s="325" t="s">
        <v>317</v>
      </c>
      <c r="C35" s="112"/>
      <c r="D35" s="116">
        <f>IFERROR((D34/C34)-1,"")</f>
        <v>4.5262650602409638E-2</v>
      </c>
      <c r="E35" s="116">
        <f t="shared" ref="E35" si="10">IFERROR((E34/D34)-1,"")</f>
        <v>2.6243476015712863E-2</v>
      </c>
      <c r="F35" s="116">
        <f t="shared" ref="F35" si="11">IFERROR((F34/E34)-1,"")</f>
        <v>2.0576501455630281E-2</v>
      </c>
      <c r="G35" s="116">
        <f t="shared" ref="G35" si="12">IFERROR((G34/F34)-1,"")</f>
        <v>8.4960645172650562E-2</v>
      </c>
      <c r="H35" s="116">
        <f t="shared" ref="H35" si="13">IFERROR((H34/G34)-1,"")</f>
        <v>9.6225006491820197E-2</v>
      </c>
      <c r="I35" s="116">
        <f t="shared" ref="I35" si="14">IFERROR((I34/H34)-1,"")</f>
        <v>0.13229698719372274</v>
      </c>
      <c r="J35" s="116">
        <f t="shared" ref="J35" si="15">IFERROR((J34/I34)-1,"")</f>
        <v>0.11317843647441839</v>
      </c>
      <c r="K35" s="116">
        <f t="shared" ref="K35:L35" si="16">IFERROR((K34/J34)-1,"")</f>
        <v>8.4839728907525558E-2</v>
      </c>
      <c r="L35" s="116">
        <f t="shared" si="16"/>
        <v>1.8980077955825125E-2</v>
      </c>
      <c r="M35" s="116">
        <f t="shared" ref="M35" si="17">IFERROR((M34/L34)-1,"")</f>
        <v>-0.75307343300075447</v>
      </c>
      <c r="N35" s="116">
        <f t="shared" ref="N35" si="18">IFERROR((N34/M34)-1,"")</f>
        <v>-0.40337363914109903</v>
      </c>
      <c r="O35" s="116"/>
      <c r="P35" s="116"/>
      <c r="R35" s="102" t="s">
        <v>317</v>
      </c>
      <c r="S35" s="112"/>
      <c r="T35" s="116">
        <f>IFERROR((T34/S34)-1,"")</f>
        <v>4.5262650602409638E-2</v>
      </c>
      <c r="U35" s="116">
        <f t="shared" ref="U35" si="19">IFERROR((U34/T34)-1,"")</f>
        <v>2.6243476015712863E-2</v>
      </c>
      <c r="V35" s="116">
        <f t="shared" ref="V35" si="20">IFERROR((V34/U34)-1,"")</f>
        <v>2.0576501455630281E-2</v>
      </c>
      <c r="W35" s="116">
        <f t="shared" ref="W35" si="21">IFERROR((W34/V34)-1,"")</f>
        <v>8.4960645172650562E-2</v>
      </c>
      <c r="X35" s="116">
        <f t="shared" ref="X35" si="22">IFERROR((X34/W34)-1,"")</f>
        <v>9.6225006491820197E-2</v>
      </c>
      <c r="Y35" s="116">
        <f t="shared" ref="Y35" si="23">IFERROR((Y34/X34)-1,"")</f>
        <v>0.13229698719372274</v>
      </c>
      <c r="Z35" s="116">
        <f t="shared" ref="Z35" si="24">IFERROR((Z34/Y34)-1,"")</f>
        <v>0.11317843647441839</v>
      </c>
      <c r="AA35" s="117">
        <f t="shared" ref="AA35" si="25">IFERROR((AA34/Z34)-1,"")</f>
        <v>8.4839728907525558E-2</v>
      </c>
      <c r="AB35" s="116"/>
      <c r="AC35" s="116"/>
      <c r="AD35" s="117">
        <f t="shared" ref="AD35" si="26">(AD34/AC34)-1</f>
        <v>-0.90995921871646279</v>
      </c>
    </row>
    <row r="36" spans="2:30" x14ac:dyDescent="0.3">
      <c r="B36" s="324" t="s">
        <v>318</v>
      </c>
      <c r="C36" s="118">
        <f>'Revenue Analysis US$'!B39</f>
        <v>20.182965430286167</v>
      </c>
      <c r="D36" s="118">
        <f>'Revenue Analysis US$'!C39</f>
        <v>21.657177254220446</v>
      </c>
      <c r="E36" s="118">
        <f>'Revenue Analysis US$'!D39</f>
        <v>21.788385097433196</v>
      </c>
      <c r="F36" s="118">
        <f>'Revenue Analysis US$'!E39</f>
        <v>21.171829904649922</v>
      </c>
      <c r="G36" s="118">
        <f>'Revenue Analysis US$'!F39</f>
        <v>20.697472640224252</v>
      </c>
      <c r="H36" s="118">
        <f>'Revenue Analysis US$'!G39</f>
        <v>16.069987022981408</v>
      </c>
      <c r="I36" s="118">
        <f>'Revenue Analysis US$'!H39</f>
        <v>14.480688143264365</v>
      </c>
      <c r="J36" s="118">
        <f>'Revenue Analysis US$'!I39</f>
        <v>14.705191017912533</v>
      </c>
      <c r="K36" s="118">
        <f>'Revenue Analysis US$'!J39</f>
        <v>15.040652471544606</v>
      </c>
      <c r="L36" s="118">
        <f>'Revenue Analysis US$'!K39</f>
        <v>15.319685869132565</v>
      </c>
      <c r="M36" s="118">
        <f>'Revenue Analysis US$'!L39</f>
        <v>19.079508444546118</v>
      </c>
      <c r="N36" s="118">
        <f>'Revenue Analysis US$'!M39</f>
        <v>24.970718000894081</v>
      </c>
      <c r="O36" s="118"/>
      <c r="P36" s="118"/>
      <c r="R36" s="101" t="s">
        <v>318</v>
      </c>
      <c r="S36" s="118">
        <f>'Revenue Analysis Reported'!B39</f>
        <v>20.792289156626506</v>
      </c>
      <c r="T36" s="118">
        <f>'Revenue Analysis Reported'!C39</f>
        <v>21.415266584290798</v>
      </c>
      <c r="U36" s="118">
        <f>'Revenue Analysis Reported'!D39</f>
        <v>21.780541278798118</v>
      </c>
      <c r="V36" s="118">
        <f>'Revenue Analysis Reported'!E39</f>
        <v>21.802750435808491</v>
      </c>
      <c r="W36" s="118">
        <f>'Revenue Analysis Reported'!F39</f>
        <v>21.539859776681382</v>
      </c>
      <c r="X36" s="118">
        <f>'Revenue Analysis Reported'!G39</f>
        <v>20.531497520171737</v>
      </c>
      <c r="Y36" s="118">
        <f>'Revenue Analysis Reported'!H39</f>
        <v>19.190387154979668</v>
      </c>
      <c r="Z36" s="118">
        <f>'Revenue Analysis Reported'!I39</f>
        <v>19.089232648554681</v>
      </c>
      <c r="AA36" s="119">
        <f>'Revenue Analysis Reported'!J39</f>
        <v>19.492204417496751</v>
      </c>
      <c r="AB36" s="118"/>
      <c r="AC36" s="118">
        <f>'Interim Inc Statement US$'!V63</f>
        <v>15.845682277644977</v>
      </c>
      <c r="AD36" s="119">
        <f>'Interim Inc Statement US$'!Z63</f>
        <v>30.762456342050669</v>
      </c>
    </row>
    <row r="37" spans="2:30" x14ac:dyDescent="0.3">
      <c r="B37" s="325" t="s">
        <v>317</v>
      </c>
      <c r="C37" s="112"/>
      <c r="D37" s="116">
        <f>IFERROR((D36/C36)-1,"")</f>
        <v>7.3042379675392288E-2</v>
      </c>
      <c r="E37" s="116">
        <f t="shared" ref="E37" si="27">IFERROR((E36/D36)-1,"")</f>
        <v>6.05840002473923E-3</v>
      </c>
      <c r="F37" s="116">
        <f t="shared" ref="F37" si="28">IFERROR((F36/E36)-1,"")</f>
        <v>-2.8297424982446584E-2</v>
      </c>
      <c r="G37" s="116">
        <f t="shared" ref="G37" si="29">IFERROR((G36/F36)-1,"")</f>
        <v>-2.240511408612289E-2</v>
      </c>
      <c r="H37" s="116">
        <f t="shared" ref="H37" si="30">IFERROR((H36/G36)-1,"")</f>
        <v>-0.22357732741965863</v>
      </c>
      <c r="I37" s="116">
        <f t="shared" ref="I37" si="31">IFERROR((I36/H36)-1,"")</f>
        <v>-9.8898578912616109E-2</v>
      </c>
      <c r="J37" s="116">
        <f t="shared" ref="J37" si="32">IFERROR((J36/I36)-1,"")</f>
        <v>1.5503605383049068E-2</v>
      </c>
      <c r="K37" s="116">
        <f t="shared" ref="K37:L37" si="33">IFERROR((K36/J36)-1,"")</f>
        <v>2.2812451278153789E-2</v>
      </c>
      <c r="L37" s="116">
        <f t="shared" si="33"/>
        <v>1.8551947670878199E-2</v>
      </c>
      <c r="M37" s="116">
        <f t="shared" ref="M37" si="34">IFERROR((M36/L36)-1,"")</f>
        <v>0.2454242604927801</v>
      </c>
      <c r="N37" s="116">
        <f t="shared" ref="N37" si="35">IFERROR((N36/M36)-1,"")</f>
        <v>0.30877155842198678</v>
      </c>
      <c r="O37" s="116"/>
      <c r="P37" s="116"/>
      <c r="R37" s="102" t="s">
        <v>317</v>
      </c>
      <c r="S37" s="112"/>
      <c r="T37" s="116">
        <f>IFERROR((T36/S36)-1,"")</f>
        <v>2.9961945169743265E-2</v>
      </c>
      <c r="U37" s="116">
        <f t="shared" ref="U37" si="36">IFERROR((U36/T36)-1,"")</f>
        <v>1.7056742818007509E-2</v>
      </c>
      <c r="V37" s="116">
        <f t="shared" ref="V37" si="37">IFERROR((V36/U36)-1,"")</f>
        <v>1.0196788374581267E-3</v>
      </c>
      <c r="W37" s="116">
        <f t="shared" ref="W37" si="38">IFERROR((W36/V36)-1,"")</f>
        <v>-1.2057683268040464E-2</v>
      </c>
      <c r="X37" s="116">
        <f t="shared" ref="X37" si="39">IFERROR((X36/W36)-1,"")</f>
        <v>-4.6813779985758197E-2</v>
      </c>
      <c r="Y37" s="116">
        <f t="shared" ref="Y37" si="40">IFERROR((Y36/X36)-1,"")</f>
        <v>-6.5319656487524025E-2</v>
      </c>
      <c r="Z37" s="116">
        <f t="shared" ref="Z37" si="41">IFERROR((Z36/Y36)-1,"")</f>
        <v>-5.2711029542068522E-3</v>
      </c>
      <c r="AA37" s="117">
        <f t="shared" ref="AA37" si="42">IFERROR((AA36/Z36)-1,"")</f>
        <v>2.1109898777025071E-2</v>
      </c>
      <c r="AB37" s="116"/>
      <c r="AC37" s="116"/>
      <c r="AD37" s="117">
        <f t="shared" ref="AD37" si="43">(AD36/AC36)-1</f>
        <v>0.94137783422871069</v>
      </c>
    </row>
    <row r="38" spans="2:30" x14ac:dyDescent="0.3">
      <c r="B38" s="324" t="s">
        <v>330</v>
      </c>
      <c r="C38" s="312">
        <f>'Revenue Analysis US$'!B52</f>
        <v>16.48909115056216</v>
      </c>
      <c r="D38" s="312">
        <f>'Revenue Analysis US$'!C52</f>
        <v>17.669532384225025</v>
      </c>
      <c r="E38" s="312">
        <f>'Revenue Analysis US$'!D52</f>
        <v>18.023703000368187</v>
      </c>
      <c r="F38" s="312">
        <f>'Revenue Analysis US$'!E52</f>
        <v>17.534151810697704</v>
      </c>
      <c r="G38" s="312">
        <f>'Revenue Analysis US$'!F52</f>
        <v>17.259612042388685</v>
      </c>
      <c r="H38" s="312">
        <f>'Revenue Analysis US$'!G52</f>
        <v>13.421959336069534</v>
      </c>
      <c r="I38" s="312">
        <f>'Revenue Analysis US$'!H52</f>
        <v>11.943764530822012</v>
      </c>
      <c r="J38" s="312">
        <f>'Revenue Analysis US$'!I52</f>
        <v>12.097126808758352</v>
      </c>
      <c r="K38" s="312">
        <f>'Revenue Analysis US$'!J52</f>
        <v>12.530033213716196</v>
      </c>
      <c r="L38" s="312">
        <f>'Revenue Analysis US$'!K52</f>
        <v>12.780165548616955</v>
      </c>
      <c r="M38" s="312">
        <f>'Revenue Analysis US$'!L52</f>
        <v>11.760037576394643</v>
      </c>
      <c r="N38" s="312">
        <f>'Revenue Analysis US$'!M52</f>
        <v>13.669957163596022</v>
      </c>
      <c r="O38" s="118"/>
      <c r="P38" s="118"/>
      <c r="R38" s="101" t="s">
        <v>330</v>
      </c>
      <c r="S38" s="312">
        <f>'Revenue Analysis Reported'!B52</f>
        <v>16.986896812397632</v>
      </c>
      <c r="T38" s="312">
        <f>'Revenue Analysis Reported'!C52</f>
        <v>17.47216370749323</v>
      </c>
      <c r="U38" s="312">
        <f>'Revenue Analysis Reported'!D52</f>
        <v>18.017214467288053</v>
      </c>
      <c r="V38" s="312">
        <f>'Revenue Analysis Reported'!E52</f>
        <v>18.056669534656496</v>
      </c>
      <c r="W38" s="312">
        <f>'Revenue Analysis Reported'!F52</f>
        <v>17.962078252513905</v>
      </c>
      <c r="X38" s="312">
        <f>'Revenue Analysis Reported'!G52</f>
        <v>17.148297906542517</v>
      </c>
      <c r="Y38" s="312">
        <f>'Revenue Analysis Reported'!H52</f>
        <v>15.828354506826564</v>
      </c>
      <c r="Z38" s="312">
        <f>'Revenue Analysis Reported'!I52</f>
        <v>15.703629266030225</v>
      </c>
      <c r="AA38" s="313">
        <f>'Revenue Analysis Reported'!J52</f>
        <v>16.238522179928925</v>
      </c>
      <c r="AB38" s="118"/>
      <c r="AC38" s="118">
        <f>'Interim Inc Statement US$'!V65</f>
        <v>11.79917313745611</v>
      </c>
      <c r="AD38" s="119">
        <f>'Interim Inc Statement US$'!Z65</f>
        <v>13.375933878483679</v>
      </c>
    </row>
    <row r="39" spans="2:30" x14ac:dyDescent="0.3">
      <c r="B39" s="325" t="s">
        <v>317</v>
      </c>
      <c r="C39" s="112"/>
      <c r="D39" s="116">
        <f>IFERROR((D38/C38)-1,"")</f>
        <v>7.1589223619679121E-2</v>
      </c>
      <c r="E39" s="116">
        <f t="shared" ref="E39" si="44">IFERROR((E38/D38)-1,"")</f>
        <v>2.0044141997745069E-2</v>
      </c>
      <c r="F39" s="116">
        <f t="shared" ref="F39" si="45">IFERROR((F38/E38)-1,"")</f>
        <v>-2.7161521118078902E-2</v>
      </c>
      <c r="G39" s="116">
        <f t="shared" ref="G39" si="46">IFERROR((G38/F38)-1,"")</f>
        <v>-1.5657430782680892E-2</v>
      </c>
      <c r="H39" s="116">
        <f t="shared" ref="H39" si="47">IFERROR((H38/G38)-1,"")</f>
        <v>-0.22234872353411428</v>
      </c>
      <c r="I39" s="116">
        <f t="shared" ref="I39" si="48">IFERROR((I38/H38)-1,"")</f>
        <v>-0.11013256471989841</v>
      </c>
      <c r="J39" s="116">
        <f t="shared" ref="J39" si="49">IFERROR((J38/I38)-1,"")</f>
        <v>1.2840363483437311E-2</v>
      </c>
      <c r="K39" s="116">
        <f t="shared" ref="K39:L39" si="50">IFERROR((K38/J38)-1,"")</f>
        <v>3.5785886334961603E-2</v>
      </c>
      <c r="L39" s="116">
        <f t="shared" si="50"/>
        <v>1.996262345314026E-2</v>
      </c>
      <c r="M39" s="116">
        <f t="shared" ref="M39" si="51">IFERROR((M38/L38)-1,"")</f>
        <v>-7.9821186066929228E-2</v>
      </c>
      <c r="N39" s="116">
        <f t="shared" ref="N39" si="52">IFERROR((N38/M38)-1,"")</f>
        <v>0.16240760922695263</v>
      </c>
      <c r="O39" s="116"/>
      <c r="P39" s="116"/>
      <c r="R39" s="102" t="s">
        <v>317</v>
      </c>
      <c r="S39" s="112"/>
      <c r="T39" s="116">
        <f>IFERROR((T38/S38)-1,"")</f>
        <v>2.8567130327266987E-2</v>
      </c>
      <c r="U39" s="116">
        <f t="shared" ref="U39" si="53">IFERROR((U38/T38)-1,"")</f>
        <v>3.1195378484295544E-2</v>
      </c>
      <c r="V39" s="116">
        <f t="shared" ref="V39" si="54">IFERROR((V38/U38)-1,"")</f>
        <v>2.1898539000064776E-3</v>
      </c>
      <c r="W39" s="116">
        <f t="shared" ref="W39" si="55">IFERROR((W38/V38)-1,"")</f>
        <v>-5.2385785740299839E-3</v>
      </c>
      <c r="X39" s="116">
        <f t="shared" ref="X39" si="56">IFERROR((X38/W38)-1,"")</f>
        <v>-4.5305467136437572E-2</v>
      </c>
      <c r="Y39" s="116">
        <f t="shared" ref="Y39" si="57">IFERROR((Y38/X38)-1,"")</f>
        <v>-7.6972269021076456E-2</v>
      </c>
      <c r="Z39" s="116">
        <f t="shared" ref="Z39" si="58">IFERROR((Z38/Y38)-1,"")</f>
        <v>-7.8798614690204216E-3</v>
      </c>
      <c r="AA39" s="117">
        <f t="shared" ref="AA39" si="59">IFERROR((AA38/Z38)-1,"")</f>
        <v>3.4061738521538487E-2</v>
      </c>
      <c r="AB39" s="116"/>
      <c r="AC39" s="116"/>
      <c r="AD39" s="117">
        <f t="shared" ref="AD39" si="60">(AD38/AC38)-1</f>
        <v>0.13363315570157974</v>
      </c>
    </row>
    <row r="40" spans="2:30" x14ac:dyDescent="0.3">
      <c r="B40" s="324" t="s">
        <v>331</v>
      </c>
      <c r="C40" s="120">
        <f>'Cost Analysis US$'!B71</f>
        <v>15.937212613073475</v>
      </c>
      <c r="D40" s="120">
        <f>'Cost Analysis US$'!C71</f>
        <v>17.397154990427552</v>
      </c>
      <c r="E40" s="120">
        <f>'Cost Analysis US$'!D71</f>
        <v>17.373838461493524</v>
      </c>
      <c r="F40" s="120">
        <f>'Cost Analysis US$'!E71</f>
        <v>16.657585830175826</v>
      </c>
      <c r="G40" s="120">
        <f>'Cost Analysis US$'!F71</f>
        <v>16.199742858049721</v>
      </c>
      <c r="H40" s="120">
        <f>'Cost Analysis US$'!G71</f>
        <v>11.966332941387636</v>
      </c>
      <c r="I40" s="120">
        <f>'Cost Analysis US$'!H71</f>
        <v>10.775184721170149</v>
      </c>
      <c r="J40" s="120">
        <f>'Cost Analysis US$'!I71</f>
        <v>11.059507145245606</v>
      </c>
      <c r="K40" s="120">
        <f>'Cost Analysis US$'!J71</f>
        <v>11.488821766306353</v>
      </c>
      <c r="L40" s="120">
        <f>'Cost Analysis US$'!K71</f>
        <v>11.67790883672432</v>
      </c>
      <c r="M40" s="120">
        <f>'Cost Analysis US$'!L71</f>
        <v>18.745899088859488</v>
      </c>
      <c r="N40" s="120">
        <f>'Cost Analysis US$'!M71</f>
        <v>24.463628856382023</v>
      </c>
      <c r="O40" s="120"/>
      <c r="P40" s="120"/>
      <c r="R40" s="101" t="s">
        <v>331</v>
      </c>
      <c r="S40" s="120">
        <f>'Cost Analysis Reported'!B71</f>
        <v>16.418357061862164</v>
      </c>
      <c r="T40" s="120">
        <f>'Cost Analysis Reported'!C71</f>
        <v>17.202828769184471</v>
      </c>
      <c r="U40" s="120">
        <f>'Cost Analysis Reported'!D71</f>
        <v>17.367583879647388</v>
      </c>
      <c r="V40" s="120">
        <f>'Cost Analysis Reported'!E71</f>
        <v>17.153981887915069</v>
      </c>
      <c r="W40" s="120">
        <f>'Cost Analysis Reported'!F71</f>
        <v>16.859072392372344</v>
      </c>
      <c r="X40" s="120">
        <f>'Cost Analysis Reported'!G71</f>
        <v>15.288545955905084</v>
      </c>
      <c r="Y40" s="120">
        <f>'Cost Analysis Reported'!H71</f>
        <v>14.279705799883528</v>
      </c>
      <c r="Z40" s="120">
        <f>'Cost Analysis Reported'!I71</f>
        <v>14.356665249487882</v>
      </c>
      <c r="AA40" s="121">
        <f>'Cost Analysis Reported'!J71</f>
        <v>14.88914545487345</v>
      </c>
      <c r="AB40" s="120"/>
      <c r="AC40" s="120">
        <f>'Interim Inc Statement US$'!V83</f>
        <v>13.171833526633568</v>
      </c>
      <c r="AD40" s="121">
        <f>'Interim Inc Statement US$'!Z83</f>
        <v>32.256367295438004</v>
      </c>
    </row>
    <row r="41" spans="2:30" x14ac:dyDescent="0.3">
      <c r="B41" s="325" t="s">
        <v>317</v>
      </c>
      <c r="C41" s="112"/>
      <c r="D41" s="116">
        <f>IFERROR((D40/C40)-1,"")</f>
        <v>9.1605879446978733E-2</v>
      </c>
      <c r="E41" s="116">
        <f t="shared" ref="E41" si="61">IFERROR((E40/D40)-1,"")</f>
        <v>-1.3402495377466961E-3</v>
      </c>
      <c r="F41" s="116">
        <f t="shared" ref="F41" si="62">IFERROR((F40/E40)-1,"")</f>
        <v>-4.1225929025710872E-2</v>
      </c>
      <c r="G41" s="116">
        <f t="shared" ref="G41" si="63">IFERROR((G40/F40)-1,"")</f>
        <v>-2.7485553836781418E-2</v>
      </c>
      <c r="H41" s="116">
        <f t="shared" ref="H41" si="64">IFERROR((H40/G40)-1,"")</f>
        <v>-0.26132574780706996</v>
      </c>
      <c r="I41" s="116">
        <f t="shared" ref="I41" si="65">IFERROR((I40/H40)-1,"")</f>
        <v>-9.9541624493640346E-2</v>
      </c>
      <c r="J41" s="116">
        <f t="shared" ref="J41" si="66">IFERROR((J40/I40)-1,"")</f>
        <v>2.6386779571105246E-2</v>
      </c>
      <c r="K41" s="116">
        <f t="shared" ref="K41:L41" si="67">IFERROR((K40/J40)-1,"")</f>
        <v>3.8818603344843217E-2</v>
      </c>
      <c r="L41" s="116">
        <f t="shared" si="67"/>
        <v>1.6458351801793114E-2</v>
      </c>
      <c r="M41" s="116">
        <f t="shared" ref="M41" si="68">IFERROR((M40/L40)-1,"")</f>
        <v>0.60524451346186003</v>
      </c>
      <c r="N41" s="116">
        <f t="shared" ref="N41" si="69">IFERROR((N40/M40)-1,"")</f>
        <v>0.30501229844561184</v>
      </c>
      <c r="O41" s="116"/>
      <c r="P41" s="116"/>
      <c r="R41" s="102" t="s">
        <v>317</v>
      </c>
      <c r="S41" s="112"/>
      <c r="T41" s="116">
        <f>IFERROR((T40/S40)-1,"")</f>
        <v>4.7780158779987758E-2</v>
      </c>
      <c r="U41" s="116">
        <f t="shared" ref="U41" si="70">IFERROR((U40/T40)-1,"")</f>
        <v>9.5772103921678564E-3</v>
      </c>
      <c r="V41" s="116">
        <f t="shared" ref="V41" si="71">IFERROR((V40/U40)-1,"")</f>
        <v>-1.2298889310828787E-2</v>
      </c>
      <c r="W41" s="116">
        <f t="shared" ref="W41" si="72">IFERROR((W40/V40)-1,"")</f>
        <v>-1.7191897337287543E-2</v>
      </c>
      <c r="X41" s="116">
        <f t="shared" ref="X41" si="73">IFERROR((X40/W40)-1,"")</f>
        <v>-9.3156159479914402E-2</v>
      </c>
      <c r="Y41" s="116">
        <f t="shared" ref="Y41" si="74">IFERROR((Y40/X40)-1,"")</f>
        <v>-6.5986664718229782E-2</v>
      </c>
      <c r="Z41" s="116">
        <f t="shared" ref="Z41" si="75">IFERROR((Z40/Y40)-1,"")</f>
        <v>5.3894282335271715E-3</v>
      </c>
      <c r="AA41" s="117">
        <f t="shared" ref="AA41" si="76">IFERROR((AA40/Z40)-1,"")</f>
        <v>3.7089407333263713E-2</v>
      </c>
      <c r="AB41" s="116"/>
      <c r="AC41" s="116"/>
      <c r="AD41" s="117">
        <f t="shared" ref="AD41" si="77">(AD40/AC40)-1</f>
        <v>1.4488896880009401</v>
      </c>
    </row>
    <row r="42" spans="2:30" x14ac:dyDescent="0.3">
      <c r="B42" s="324" t="s">
        <v>332</v>
      </c>
      <c r="C42" s="120">
        <f>'Cost Analysis US$'!B73</f>
        <v>11.882969174236941</v>
      </c>
      <c r="D42" s="120">
        <f>'Cost Analysis Reported'!C73</f>
        <v>12.124586217273547</v>
      </c>
      <c r="E42" s="120">
        <f>'Cost Analysis Reported'!D73</f>
        <v>12.073912203243694</v>
      </c>
      <c r="F42" s="120">
        <f>'Cost Analysis Reported'!E73</f>
        <v>12.00034999197935</v>
      </c>
      <c r="G42" s="120">
        <f>'Cost Analysis Reported'!F73</f>
        <v>11.787952198568123</v>
      </c>
      <c r="H42" s="120">
        <f>'Cost Analysis Reported'!G73</f>
        <v>12.241718292094818</v>
      </c>
      <c r="I42" s="120">
        <f>'Cost Analysis Reported'!H73</f>
        <v>11.821926967625046</v>
      </c>
      <c r="J42" s="120">
        <f>'Cost Analysis Reported'!I73</f>
        <v>11.52842731805357</v>
      </c>
      <c r="K42" s="120">
        <f>'Cost Analysis Reported'!J73</f>
        <v>11.309147980444861</v>
      </c>
      <c r="L42" s="120">
        <f>'Cost Analysis Reported'!K73</f>
        <v>12.072083252078643</v>
      </c>
      <c r="M42" s="120">
        <f>'Cost Analysis Reported'!L73</f>
        <v>21.154815266689653</v>
      </c>
      <c r="N42" s="120">
        <f>'Cost Analysis Reported'!M73</f>
        <v>27.433174082994434</v>
      </c>
      <c r="O42" s="120"/>
      <c r="P42" s="120"/>
      <c r="R42" s="101" t="s">
        <v>332</v>
      </c>
      <c r="S42" s="120">
        <f>'Cost Analysis Reported'!B73</f>
        <v>12.241716013607157</v>
      </c>
      <c r="T42" s="120">
        <f>'Cost Analysis Reported'!C73</f>
        <v>12.124586217273547</v>
      </c>
      <c r="U42" s="120">
        <f>'Cost Analysis Reported'!D73</f>
        <v>12.073912203243694</v>
      </c>
      <c r="V42" s="120">
        <f>'Cost Analysis Reported'!E73</f>
        <v>12.00034999197935</v>
      </c>
      <c r="W42" s="120">
        <f>'Cost Analysis Reported'!F73</f>
        <v>11.787952198568123</v>
      </c>
      <c r="X42" s="120">
        <f>'Cost Analysis Reported'!G73</f>
        <v>12.241718292094818</v>
      </c>
      <c r="Y42" s="120">
        <f>'Cost Analysis Reported'!H73</f>
        <v>11.821926967625046</v>
      </c>
      <c r="Z42" s="120">
        <f>'Cost Analysis Reported'!I73</f>
        <v>11.52842731805357</v>
      </c>
      <c r="AA42" s="121">
        <f>'Cost Analysis Reported'!J73</f>
        <v>11.309147980444861</v>
      </c>
      <c r="AB42" s="120"/>
      <c r="AC42" s="120">
        <f>'Interim Inc Statement US$'!V85</f>
        <v>10.521616239445683</v>
      </c>
      <c r="AD42" s="121">
        <f>'Interim Inc Statement US$'!Z85</f>
        <v>28.586700936457571</v>
      </c>
    </row>
    <row r="43" spans="2:30" x14ac:dyDescent="0.3">
      <c r="B43" s="325" t="s">
        <v>317</v>
      </c>
      <c r="C43" s="112"/>
      <c r="D43" s="116">
        <f>IFERROR((D42/C42)-1,"")</f>
        <v>2.0333053085793473E-2</v>
      </c>
      <c r="E43" s="116">
        <f t="shared" ref="E43" si="78">IFERROR((E42/D42)-1,"")</f>
        <v>-4.1794427555523761E-3</v>
      </c>
      <c r="F43" s="116">
        <f t="shared" ref="F43" si="79">IFERROR((F42/E42)-1,"")</f>
        <v>-6.0926574606514627E-3</v>
      </c>
      <c r="G43" s="116">
        <f t="shared" ref="G43" si="80">IFERROR((G42/F42)-1,"")</f>
        <v>-1.7699299899851861E-2</v>
      </c>
      <c r="H43" s="116">
        <f t="shared" ref="H43" si="81">IFERROR((H42/G42)-1,"")</f>
        <v>3.8494056124677378E-2</v>
      </c>
      <c r="I43" s="116">
        <f t="shared" ref="I43" si="82">IFERROR((I42/H42)-1,"")</f>
        <v>-3.4291862829489816E-2</v>
      </c>
      <c r="J43" s="116">
        <f t="shared" ref="J43" si="83">IFERROR((J42/I42)-1,"")</f>
        <v>-2.4826718213979859E-2</v>
      </c>
      <c r="K43" s="116">
        <f t="shared" ref="K43:L43" si="84">IFERROR((K42/J42)-1,"")</f>
        <v>-1.902075032084527E-2</v>
      </c>
      <c r="L43" s="116">
        <f t="shared" si="84"/>
        <v>6.7461781643763707E-2</v>
      </c>
      <c r="M43" s="116">
        <f t="shared" ref="M43" si="85">IFERROR((M42/L42)-1,"")</f>
        <v>0.75237486562620326</v>
      </c>
      <c r="N43" s="116">
        <f t="shared" ref="N43" si="86">IFERROR((N42/M42)-1,"")</f>
        <v>0.29678154770704501</v>
      </c>
      <c r="O43" s="116"/>
      <c r="P43" s="116"/>
      <c r="R43" s="102" t="s">
        <v>317</v>
      </c>
      <c r="S43" s="112"/>
      <c r="T43" s="116">
        <f>IFERROR((T42/S42)-1,"")</f>
        <v>-9.5680863862072085E-3</v>
      </c>
      <c r="U43" s="116">
        <f t="shared" ref="U43" si="87">IFERROR((U42/T42)-1,"")</f>
        <v>-4.1794427555523761E-3</v>
      </c>
      <c r="V43" s="116">
        <f t="shared" ref="V43" si="88">IFERROR((V42/U42)-1,"")</f>
        <v>-6.0926574606514627E-3</v>
      </c>
      <c r="W43" s="116">
        <f t="shared" ref="W43" si="89">IFERROR((W42/V42)-1,"")</f>
        <v>-1.7699299899851861E-2</v>
      </c>
      <c r="X43" s="116">
        <f t="shared" ref="X43" si="90">IFERROR((X42/W42)-1,"")</f>
        <v>3.8494056124677378E-2</v>
      </c>
      <c r="Y43" s="116">
        <f t="shared" ref="Y43" si="91">IFERROR((Y42/X42)-1,"")</f>
        <v>-3.4291862829489816E-2</v>
      </c>
      <c r="Z43" s="116">
        <f t="shared" ref="Z43" si="92">IFERROR((Z42/Y42)-1,"")</f>
        <v>-2.4826718213979859E-2</v>
      </c>
      <c r="AA43" s="117">
        <f t="shared" ref="AA43" si="93">IFERROR((AA42/Z42)-1,"")</f>
        <v>-1.902075032084527E-2</v>
      </c>
      <c r="AB43" s="116"/>
      <c r="AC43" s="116"/>
      <c r="AD43" s="117">
        <f t="shared" ref="AD43" si="94">(AD42/AC42)-1</f>
        <v>1.7169495908134</v>
      </c>
    </row>
    <row r="44" spans="2:30" x14ac:dyDescent="0.3">
      <c r="B44" s="326" t="s">
        <v>319</v>
      </c>
      <c r="C44" s="122">
        <f>'Annual Operational Data'!B35</f>
        <v>0.81698059720297345</v>
      </c>
      <c r="D44" s="122">
        <f>'Annual Operational Data'!C35</f>
        <v>0.81587421005115857</v>
      </c>
      <c r="E44" s="122">
        <f>'Annual Operational Data'!D35</f>
        <v>0.82721610251378797</v>
      </c>
      <c r="F44" s="122">
        <f>'Annual Operational Data'!E35</f>
        <v>0.82818310413719687</v>
      </c>
      <c r="G44" s="122">
        <f>'Annual Operational Data'!F35</f>
        <v>0.83389949789549189</v>
      </c>
      <c r="H44" s="122">
        <f>'Annual Operational Data'!G35</f>
        <v>0.83521905256519646</v>
      </c>
      <c r="I44" s="122">
        <f>'Annual Operational Data'!H35</f>
        <v>0.82480641891163209</v>
      </c>
      <c r="J44" s="122">
        <f>'Annual Operational Data'!I35</f>
        <v>0.82264329610018161</v>
      </c>
      <c r="K44" s="122">
        <f>'Annual Operational Data'!J35</f>
        <v>0.83307776955964863</v>
      </c>
      <c r="L44" s="122">
        <f>'Annual Operational Data'!K35</f>
        <v>0.83423156700409529</v>
      </c>
      <c r="M44" s="122">
        <f>'Annual Operational Data'!L35</f>
        <v>0.61637005012863699</v>
      </c>
      <c r="N44" s="122">
        <f>'Annual Operational Data'!M35</f>
        <v>0.54743949145181037</v>
      </c>
      <c r="O44" s="122"/>
      <c r="P44" s="122"/>
      <c r="R44" s="103" t="s">
        <v>319</v>
      </c>
      <c r="S44" s="122">
        <f>'Annual Operational Data'!B35</f>
        <v>0.81698059720297345</v>
      </c>
      <c r="T44" s="122">
        <f>'Annual Operational Data'!C35</f>
        <v>0.81587421005115857</v>
      </c>
      <c r="U44" s="122">
        <f>'Annual Operational Data'!D35</f>
        <v>0.82721610251378797</v>
      </c>
      <c r="V44" s="122">
        <f>'Annual Operational Data'!E35</f>
        <v>0.82818310413719687</v>
      </c>
      <c r="W44" s="122">
        <f>'Annual Operational Data'!F35</f>
        <v>0.83389949789549189</v>
      </c>
      <c r="X44" s="122">
        <f>'Annual Operational Data'!G35</f>
        <v>0.83521905256519646</v>
      </c>
      <c r="Y44" s="122">
        <f>'Annual Operational Data'!H35</f>
        <v>0.82480641891163209</v>
      </c>
      <c r="Z44" s="122">
        <f>'Annual Operational Data'!I35</f>
        <v>0.82264329610018161</v>
      </c>
      <c r="AA44" s="123">
        <f>'Annual Operational Data'!J35</f>
        <v>0.83307776955964863</v>
      </c>
      <c r="AB44" s="122"/>
      <c r="AC44" s="122">
        <f>'Interim Inc Statement Reported'!T54</f>
        <v>0.86126259358535906</v>
      </c>
      <c r="AD44" s="123">
        <f>'Interim Inc Statement Reported'!V54</f>
        <v>0.74463017311045898</v>
      </c>
    </row>
    <row r="45" spans="2:30" x14ac:dyDescent="0.3">
      <c r="B45" s="112" t="s">
        <v>320</v>
      </c>
      <c r="C45" s="314">
        <f>'Annual Income Statement US$'!B88</f>
        <v>0.78963681863906898</v>
      </c>
      <c r="D45" s="314">
        <f>'Annual Income Statement US$'!C88</f>
        <v>0.80329743743669435</v>
      </c>
      <c r="E45" s="314">
        <f>'Annual Income Statement US$'!D88</f>
        <v>0.797389911358794</v>
      </c>
      <c r="F45" s="314">
        <f>'Annual Income Statement US$'!E88</f>
        <v>0.78678063753560379</v>
      </c>
      <c r="G45" s="314">
        <f>'Annual Income Statement US$'!F88</f>
        <v>0.78269183584118029</v>
      </c>
      <c r="H45" s="314">
        <f>'Annual Income Statement US$'!G88</f>
        <v>0.74463861882867688</v>
      </c>
      <c r="I45" s="314">
        <f>'Annual Income Statement US$'!H88</f>
        <v>0.74410722850779598</v>
      </c>
      <c r="J45" s="314">
        <f>'Annual Income Statement US$'!M88</f>
        <v>0.97969264862572625</v>
      </c>
      <c r="K45" s="314">
        <f>'Annual Income Statement US$'!N88</f>
        <v>0</v>
      </c>
      <c r="L45" s="314">
        <f>'Annual Income Statement US$'!O88</f>
        <v>0</v>
      </c>
      <c r="M45" s="314">
        <f>'Annual Income Statement US$'!P88</f>
        <v>0</v>
      </c>
      <c r="N45" s="314">
        <f>'Annual Income Statement US$'!Q88</f>
        <v>0</v>
      </c>
      <c r="O45" s="124"/>
      <c r="P45" s="124"/>
      <c r="R45" s="104" t="s">
        <v>320</v>
      </c>
      <c r="S45" s="314">
        <f>'Annual Income Statement US$'!B88</f>
        <v>0.78963681863906898</v>
      </c>
      <c r="T45" s="314">
        <f>'Annual Income Statement US$'!C88</f>
        <v>0.80329743743669435</v>
      </c>
      <c r="U45" s="314">
        <f>'Annual Income Statement US$'!D88</f>
        <v>0.797389911358794</v>
      </c>
      <c r="V45" s="314">
        <f>'Annual Income Statement US$'!E88</f>
        <v>0.78678063753560379</v>
      </c>
      <c r="W45" s="314">
        <f>'Annual Income Statement US$'!F88</f>
        <v>0.78269183584118029</v>
      </c>
      <c r="X45" s="314">
        <f>'Annual Income Statement US$'!G88</f>
        <v>0.74463861882867688</v>
      </c>
      <c r="Y45" s="314">
        <f>'Annual Income Statement US$'!H88</f>
        <v>0.74410722850779598</v>
      </c>
      <c r="Z45" s="314">
        <f>'Annual Income Statement US$'!I88</f>
        <v>0.7520818418321743</v>
      </c>
      <c r="AA45" s="315">
        <f>'Annual Income Statement US$'!J88</f>
        <v>0.76385128823646731</v>
      </c>
      <c r="AB45" s="124"/>
      <c r="AC45" s="124">
        <f>'Interim Inc Statement Reported'!T88</f>
        <v>0.71298832031548631</v>
      </c>
      <c r="AD45" s="125">
        <f>'Interim Inc Statement Reported'!Y88</f>
        <v>0.90428053204353087</v>
      </c>
    </row>
    <row r="46" spans="2:30" x14ac:dyDescent="0.3">
      <c r="B46" s="324" t="s">
        <v>321</v>
      </c>
      <c r="C46" s="126">
        <f>IFERROR(C44-C45,"")</f>
        <v>2.7343778563904464E-2</v>
      </c>
      <c r="D46" s="126">
        <f t="shared" ref="D46:K46" si="95">IFERROR(D44-D45,"")</f>
        <v>1.2576772614464216E-2</v>
      </c>
      <c r="E46" s="126">
        <f t="shared" si="95"/>
        <v>2.9826191154993964E-2</v>
      </c>
      <c r="F46" s="126">
        <f t="shared" si="95"/>
        <v>4.140246660159308E-2</v>
      </c>
      <c r="G46" s="126">
        <f t="shared" si="95"/>
        <v>5.1207662054311598E-2</v>
      </c>
      <c r="H46" s="126">
        <f t="shared" si="95"/>
        <v>9.0580433736519583E-2</v>
      </c>
      <c r="I46" s="126">
        <f t="shared" si="95"/>
        <v>8.0699190403836107E-2</v>
      </c>
      <c r="J46" s="126">
        <f t="shared" si="95"/>
        <v>-0.15704935252554464</v>
      </c>
      <c r="K46" s="126">
        <f t="shared" si="95"/>
        <v>0.83307776955964863</v>
      </c>
      <c r="L46" s="126">
        <f t="shared" ref="L46:N46" si="96">IFERROR(L44-L45,"")</f>
        <v>0.83423156700409529</v>
      </c>
      <c r="M46" s="126">
        <f t="shared" si="96"/>
        <v>0.61637005012863699</v>
      </c>
      <c r="N46" s="126">
        <f t="shared" si="96"/>
        <v>0.54743949145181037</v>
      </c>
      <c r="O46" s="126"/>
      <c r="P46" s="126"/>
      <c r="R46" s="101" t="s">
        <v>321</v>
      </c>
      <c r="S46" s="126">
        <f>IFERROR(S44-S45,"")</f>
        <v>2.7343778563904464E-2</v>
      </c>
      <c r="T46" s="126">
        <f t="shared" ref="T46" si="97">IFERROR(T44-T45,"")</f>
        <v>1.2576772614464216E-2</v>
      </c>
      <c r="U46" s="126">
        <f t="shared" ref="U46" si="98">IFERROR(U44-U45,"")</f>
        <v>2.9826191154993964E-2</v>
      </c>
      <c r="V46" s="126">
        <f t="shared" ref="V46" si="99">IFERROR(V44-V45,"")</f>
        <v>4.140246660159308E-2</v>
      </c>
      <c r="W46" s="126">
        <f t="shared" ref="W46" si="100">IFERROR(W44-W45,"")</f>
        <v>5.1207662054311598E-2</v>
      </c>
      <c r="X46" s="126">
        <f t="shared" ref="X46" si="101">IFERROR(X44-X45,"")</f>
        <v>9.0580433736519583E-2</v>
      </c>
      <c r="Y46" s="126">
        <f t="shared" ref="Y46" si="102">IFERROR(Y44-Y45,"")</f>
        <v>8.0699190403836107E-2</v>
      </c>
      <c r="Z46" s="126">
        <f t="shared" ref="Z46" si="103">IFERROR(Z44-Z45,"")</f>
        <v>7.0561454268007306E-2</v>
      </c>
      <c r="AA46" s="127">
        <f t="shared" ref="AA46" si="104">IFERROR(AA44-AA45,"")</f>
        <v>6.9226481323181321E-2</v>
      </c>
      <c r="AB46" s="126"/>
      <c r="AC46" s="126">
        <f>AC44-AC45</f>
        <v>0.14827427326987275</v>
      </c>
      <c r="AD46" s="127">
        <f>AD44-AD45</f>
        <v>-0.15965035893307189</v>
      </c>
    </row>
    <row r="47" spans="2:30" x14ac:dyDescent="0.3">
      <c r="B47" s="112"/>
      <c r="C47" s="112"/>
      <c r="D47" s="112"/>
      <c r="E47" s="112"/>
      <c r="F47" s="112"/>
      <c r="G47" s="112"/>
      <c r="H47" s="112"/>
      <c r="I47" s="112"/>
      <c r="J47" s="112"/>
      <c r="K47" s="112"/>
      <c r="L47" s="112"/>
      <c r="M47" s="112"/>
      <c r="N47" s="112"/>
      <c r="O47" s="112"/>
      <c r="P47" s="112"/>
      <c r="R47" s="104"/>
      <c r="S47" s="112"/>
      <c r="T47" s="112"/>
      <c r="U47" s="112"/>
      <c r="V47" s="112"/>
      <c r="W47" s="112"/>
      <c r="X47" s="112"/>
      <c r="Y47" s="112"/>
      <c r="Z47" s="112"/>
      <c r="AA47" s="113"/>
      <c r="AB47" s="112"/>
      <c r="AC47" s="112"/>
      <c r="AD47" s="113"/>
    </row>
    <row r="48" spans="2:30" x14ac:dyDescent="0.3">
      <c r="B48" s="323" t="s">
        <v>415</v>
      </c>
      <c r="C48" s="112"/>
      <c r="D48" s="112"/>
      <c r="E48" s="112"/>
      <c r="F48" s="112"/>
      <c r="G48" s="112"/>
      <c r="H48" s="112"/>
      <c r="I48" s="112"/>
      <c r="J48" s="112"/>
      <c r="K48" s="112"/>
      <c r="L48" s="112"/>
      <c r="M48" s="112"/>
      <c r="N48" s="112"/>
      <c r="O48" s="112"/>
      <c r="P48" s="112"/>
      <c r="R48" s="100" t="s">
        <v>613</v>
      </c>
      <c r="S48" s="112"/>
      <c r="T48" s="112"/>
      <c r="U48" s="112"/>
      <c r="V48" s="112"/>
      <c r="W48" s="112"/>
      <c r="X48" s="112"/>
      <c r="Y48" s="112"/>
      <c r="Z48" s="112"/>
      <c r="AA48" s="113"/>
      <c r="AB48" s="112"/>
      <c r="AC48" s="112"/>
      <c r="AD48" s="113"/>
    </row>
    <row r="49" spans="2:30" x14ac:dyDescent="0.3">
      <c r="B49" s="112" t="s">
        <v>412</v>
      </c>
      <c r="C49" s="128">
        <f>'Annual Income Statement US$'!B13</f>
        <v>10469.913316960949</v>
      </c>
      <c r="D49" s="128">
        <f>'Annual Income Statement US$'!C13</f>
        <v>11743.171222555951</v>
      </c>
      <c r="E49" s="128">
        <f>'Annual Income Statement US$'!D13</f>
        <v>12124.364771317676</v>
      </c>
      <c r="F49" s="128">
        <f>'Annual Income Statement US$'!E13</f>
        <v>12023.693921149737</v>
      </c>
      <c r="G49" s="128">
        <f>'Annual Income Statement US$'!F13</f>
        <v>12752.954742000577</v>
      </c>
      <c r="H49" s="128">
        <f>'Annual Income Statement US$'!G13</f>
        <v>10854.472734672792</v>
      </c>
      <c r="I49" s="128">
        <f>'Annual Income Statement US$'!H13</f>
        <v>11074.97509885002</v>
      </c>
      <c r="J49" s="128">
        <f>'Annual Income Statement US$'!I13</f>
        <v>12519.558476920192</v>
      </c>
      <c r="K49" s="128">
        <f>'Annual Income Statement US$'!J13</f>
        <v>13891.546622718599</v>
      </c>
      <c r="L49" s="128">
        <f>'Annual Income Statement US$'!K13</f>
        <v>14417.815962016732</v>
      </c>
      <c r="M49" s="128">
        <f>'Annual Income Statement US$'!L13</f>
        <v>4433.8869674280722</v>
      </c>
      <c r="N49" s="128">
        <f>'Annual Income Statement US$'!M13</f>
        <v>3462.1900508239642</v>
      </c>
      <c r="O49" s="128"/>
      <c r="P49" s="128"/>
      <c r="R49" s="104" t="s">
        <v>412</v>
      </c>
      <c r="S49" s="128">
        <f>'Annual Inc Statement Reported'!B13</f>
        <v>10786</v>
      </c>
      <c r="T49" s="128">
        <f>'Annual Inc Statement Reported'!C13</f>
        <v>11612</v>
      </c>
      <c r="U49" s="128">
        <f>'Annual Inc Statement Reported'!D13</f>
        <v>12120</v>
      </c>
      <c r="V49" s="128">
        <f>'Annual Inc Statement Reported'!E13</f>
        <v>12382</v>
      </c>
      <c r="W49" s="128">
        <f>'Annual Inc Statement Reported'!F13</f>
        <v>13272</v>
      </c>
      <c r="X49" s="128">
        <f>'Annual Inc Statement Reported'!G13</f>
        <v>13868</v>
      </c>
      <c r="Y49" s="128">
        <f>'Annual Inc Statement Reported'!H13</f>
        <v>14677</v>
      </c>
      <c r="Z49" s="128">
        <f>'Annual Inc Statement Reported'!I13</f>
        <v>16252</v>
      </c>
      <c r="AA49" s="129">
        <f>'Annual Inc Statement Reported'!J13</f>
        <v>18003</v>
      </c>
      <c r="AB49" s="128"/>
      <c r="AC49" s="128">
        <f>'Interim Inc Statement US$'!V13</f>
        <v>2774.1035963473059</v>
      </c>
      <c r="AD49" s="129">
        <f>'Interim Inc Statement US$'!Z13</f>
        <v>563.26057562294773</v>
      </c>
    </row>
    <row r="50" spans="2:30" x14ac:dyDescent="0.3">
      <c r="B50" s="324" t="s">
        <v>322</v>
      </c>
      <c r="C50" s="114">
        <f>'Annual Income Statement US$'!B26</f>
        <v>1345.3828905347546</v>
      </c>
      <c r="D50" s="114">
        <f>'Annual Income Statement US$'!C26</f>
        <v>1256.0298534631856</v>
      </c>
      <c r="E50" s="114">
        <f>'Annual Income Statement US$'!D26</f>
        <v>1451.5225481173238</v>
      </c>
      <c r="F50" s="114">
        <f>'Annual Income Statement US$'!E26</f>
        <v>1471.1594484365887</v>
      </c>
      <c r="G50" s="114">
        <f>'Annual Income Statement US$'!F26</f>
        <v>1605.6500432401263</v>
      </c>
      <c r="H50" s="114">
        <f>'Annual Income Statement US$'!G26</f>
        <v>1966.1404318934274</v>
      </c>
      <c r="I50" s="114">
        <f>'Annual Income Statement US$'!H26</f>
        <v>2047.9309408107219</v>
      </c>
      <c r="J50" s="114">
        <f>'Annual Income Statement US$'!I26</f>
        <v>2197.7787555164487</v>
      </c>
      <c r="K50" s="114">
        <f>'Annual Income Statement US$'!J26</f>
        <v>2479.2278675106845</v>
      </c>
      <c r="L50" s="114">
        <f>'Annual Income Statement US$'!K26</f>
        <v>2740.2215690707671</v>
      </c>
      <c r="M50" s="114">
        <f>'Annual Income Statement US$'!L26</f>
        <v>-1228.3835658089774</v>
      </c>
      <c r="N50" s="114">
        <f>'Annual Income Statement US$'!M26</f>
        <v>-1459.2638225781602</v>
      </c>
      <c r="O50" s="114"/>
      <c r="P50" s="114"/>
      <c r="R50" s="101" t="s">
        <v>322</v>
      </c>
      <c r="S50" s="114">
        <f>'Annual Inc Statement Reported'!B26</f>
        <v>1386</v>
      </c>
      <c r="T50" s="114">
        <f>'Annual Inc Statement Reported'!C26</f>
        <v>1242</v>
      </c>
      <c r="U50" s="114">
        <f>'Annual Inc Statement Reported'!D26</f>
        <v>1451</v>
      </c>
      <c r="V50" s="114">
        <f>'Annual Inc Statement Reported'!E26</f>
        <v>1515</v>
      </c>
      <c r="W50" s="114">
        <f>'Annual Inc Statement Reported'!F26</f>
        <v>1671</v>
      </c>
      <c r="X50" s="114">
        <f>'Annual Inc Statement Reported'!G26</f>
        <v>2512</v>
      </c>
      <c r="Y50" s="114">
        <f>'Annual Inc Statement Reported'!H26</f>
        <v>2714</v>
      </c>
      <c r="Z50" s="114">
        <f>'Annual Inc Statement Reported'!I26</f>
        <v>2853</v>
      </c>
      <c r="AA50" s="115">
        <f>'Annual Inc Statement Reported'!J26</f>
        <v>3213</v>
      </c>
      <c r="AB50" s="114"/>
      <c r="AC50" s="114">
        <f>'Interim Inc Statement US$'!V26</f>
        <v>52.918150279596375</v>
      </c>
      <c r="AD50" s="115">
        <f>'Interim Inc Statement US$'!Z26</f>
        <v>-475.95132316013132</v>
      </c>
    </row>
    <row r="51" spans="2:30" x14ac:dyDescent="0.3">
      <c r="B51" s="112" t="s">
        <v>323</v>
      </c>
      <c r="C51" s="314">
        <f>'Annual Income Statement US$'!B81</f>
        <v>0.12849990728722407</v>
      </c>
      <c r="D51" s="314">
        <f>'Annual Income Statement US$'!C81</f>
        <v>0.10695831898036529</v>
      </c>
      <c r="E51" s="314">
        <f>'Annual Income Statement US$'!D81</f>
        <v>0.11971947194719483</v>
      </c>
      <c r="F51" s="314">
        <f>'Annual Income Statement US$'!E81</f>
        <v>0.12235503149733477</v>
      </c>
      <c r="G51" s="314">
        <f>'Annual Income Statement US$'!F81</f>
        <v>0.1259041591320072</v>
      </c>
      <c r="H51" s="314">
        <f>'Annual Income Statement US$'!G81</f>
        <v>0.18113642918950099</v>
      </c>
      <c r="I51" s="314">
        <f>'Annual Income Statement US$'!H81</f>
        <v>0.18491517340055877</v>
      </c>
      <c r="J51" s="314">
        <f>'Annual Income Statement US$'!I81</f>
        <v>0.17554762490770373</v>
      </c>
      <c r="K51" s="314">
        <f>'Annual Income Statement US$'!J81</f>
        <v>0.17847025495750707</v>
      </c>
      <c r="L51" s="314">
        <f>'Annual Income Statement US$'!K81</f>
        <v>0.19005802101301555</v>
      </c>
      <c r="M51" s="314">
        <f>'Annual Income Statement US$'!L81</f>
        <v>-0.27704440253728785</v>
      </c>
      <c r="N51" s="314">
        <f>'Annual Income Statement US$'!M81</f>
        <v>-0.42148576512455493</v>
      </c>
      <c r="O51" s="124"/>
      <c r="P51" s="124"/>
      <c r="R51" s="104" t="s">
        <v>323</v>
      </c>
      <c r="S51" s="314">
        <f>'Annual Inc Statement Reported'!B81</f>
        <v>0.12849990728722419</v>
      </c>
      <c r="T51" s="314">
        <f>'Annual Inc Statement Reported'!C81</f>
        <v>0.10695831898036513</v>
      </c>
      <c r="U51" s="314">
        <f>'Annual Inc Statement Reported'!D81</f>
        <v>0.11971947194719472</v>
      </c>
      <c r="V51" s="314">
        <f>'Annual Inc Statement Reported'!E81</f>
        <v>0.12235503149733484</v>
      </c>
      <c r="W51" s="314">
        <f>'Annual Inc Statement Reported'!F81</f>
        <v>0.12590415913200723</v>
      </c>
      <c r="X51" s="314">
        <f>'Annual Inc Statement Reported'!G81</f>
        <v>0.18113642918950101</v>
      </c>
      <c r="Y51" s="314">
        <f>'Annual Inc Statement Reported'!H81</f>
        <v>0.18491517340055869</v>
      </c>
      <c r="Z51" s="314">
        <f>'Annual Inc Statement Reported'!I81</f>
        <v>0.17554762490770368</v>
      </c>
      <c r="AA51" s="315">
        <f>'Annual Inc Statement Reported'!J81</f>
        <v>0.17847025495750707</v>
      </c>
      <c r="AB51" s="124"/>
      <c r="AC51" s="124">
        <f>AC50/AC49</f>
        <v>1.9075765717356162E-2</v>
      </c>
      <c r="AD51" s="125">
        <f>AD50/AD49</f>
        <v>-0.84499314128943748</v>
      </c>
    </row>
    <row r="52" spans="2:30" x14ac:dyDescent="0.3">
      <c r="B52" s="324" t="s">
        <v>343</v>
      </c>
      <c r="C52" s="114">
        <f>'Annual Income Statement US$'!B30</f>
        <v>350.42079616381318</v>
      </c>
      <c r="D52" s="114">
        <f>'Annual Income Statement US$'!C30</f>
        <v>181.02201591780363</v>
      </c>
      <c r="E52" s="114">
        <f>'Annual Income Statement US$'!D30</f>
        <v>437.15737665559755</v>
      </c>
      <c r="F52" s="114">
        <f>'Annual Income Statement US$'!E30</f>
        <v>601.08758982326572</v>
      </c>
      <c r="G52" s="114">
        <f>'Annual Income Statement US$'!F30</f>
        <v>783.12674161621919</v>
      </c>
      <c r="H52" s="114">
        <f>'Annual Income Statement US$'!G30</f>
        <v>1177.1796216431985</v>
      </c>
      <c r="I52" s="114">
        <f>'Annual Income Statement US$'!H30</f>
        <v>1083.5773142977885</v>
      </c>
      <c r="J52" s="114">
        <f>'Annual Income Statement US$'!I30</f>
        <v>1073.8533421626116</v>
      </c>
      <c r="K52" s="114">
        <f>'Annual Income Statement US$'!J30</f>
        <v>1154.349483285398</v>
      </c>
      <c r="L52" s="114">
        <f>'Annual Income Statement US$'!K30</f>
        <v>1243.4998869545564</v>
      </c>
      <c r="M52" s="114">
        <f>'Annual Income Statement US$'!L30</f>
        <v>-2633.8793660446204</v>
      </c>
      <c r="N52" s="114">
        <f>'Annual Income Statement US$'!M30</f>
        <v>-2733.7132296319105</v>
      </c>
      <c r="O52" s="114"/>
      <c r="P52" s="114"/>
      <c r="R52" s="101" t="s">
        <v>343</v>
      </c>
      <c r="S52" s="114">
        <f>'Annual Inc Statement Reported'!B30</f>
        <v>361</v>
      </c>
      <c r="T52" s="114">
        <f>'Annual Inc Statement Reported'!C30</f>
        <v>179</v>
      </c>
      <c r="U52" s="114">
        <f>'Annual Inc Statement Reported'!D30</f>
        <v>437</v>
      </c>
      <c r="V52" s="114">
        <f>'Annual Inc Statement Reported'!E30</f>
        <v>619</v>
      </c>
      <c r="W52" s="114">
        <f>'Annual Inc Statement Reported'!F30</f>
        <v>815</v>
      </c>
      <c r="X52" s="114">
        <f>'Annual Inc Statement Reported'!G30</f>
        <v>1504</v>
      </c>
      <c r="Y52" s="114">
        <f>'Annual Inc Statement Reported'!H30</f>
        <v>1436</v>
      </c>
      <c r="Z52" s="114">
        <f>'Annual Inc Statement Reported'!I30</f>
        <v>1394</v>
      </c>
      <c r="AA52" s="115">
        <f>'Annual Inc Statement Reported'!J30</f>
        <v>1496</v>
      </c>
      <c r="AB52" s="228"/>
      <c r="AC52" s="114">
        <f>'Interim Inc Statement US$'!V30</f>
        <v>-322.7261840995123</v>
      </c>
      <c r="AD52" s="115">
        <f>'Interim Inc Statement US$'!Z30</f>
        <v>-795.05505118794667</v>
      </c>
    </row>
    <row r="53" spans="2:30" x14ac:dyDescent="0.3">
      <c r="B53" s="112" t="s">
        <v>413</v>
      </c>
      <c r="C53" s="124">
        <f>'Annual Income Statement US$'!B101</f>
        <v>3.3469312071203294E-2</v>
      </c>
      <c r="D53" s="124">
        <f>'Annual Income Statement US$'!C101</f>
        <v>1.5415087840165495E-2</v>
      </c>
      <c r="E53" s="124">
        <f>'Annual Income Statement US$'!D101</f>
        <v>3.6056105610561176E-2</v>
      </c>
      <c r="F53" s="124">
        <f>'Annual Income Statement US$'!E101</f>
        <v>4.9991923760297131E-2</v>
      </c>
      <c r="G53" s="124">
        <f>'Annual Income Statement US$'!F101</f>
        <v>6.1407474382157871E-2</v>
      </c>
      <c r="H53" s="124">
        <f>'Annual Income Statement US$'!G101</f>
        <v>0.10845111047014708</v>
      </c>
      <c r="I53" s="124">
        <f>'Annual Income Statement US$'!H101</f>
        <v>9.7840158070450448E-2</v>
      </c>
      <c r="J53" s="124">
        <f>'Annual Income Statement US$'!I101</f>
        <v>8.5774058577405943E-2</v>
      </c>
      <c r="K53" s="124">
        <f>'Annual Income Statement US$'!J101</f>
        <v>8.3097261567516512E-2</v>
      </c>
      <c r="L53" s="124">
        <f>'Annual Income Statement US$'!K101</f>
        <v>8.6247451779833811E-2</v>
      </c>
      <c r="M53" s="124">
        <f>'Annual Income Statement US$'!L101</f>
        <v>-0.59403394479684557</v>
      </c>
      <c r="N53" s="124">
        <f>'Annual Income Statement US$'!M101</f>
        <v>-0.78959074733096068</v>
      </c>
      <c r="O53" s="124"/>
      <c r="P53" s="124"/>
      <c r="R53" s="104" t="s">
        <v>413</v>
      </c>
      <c r="S53" s="124">
        <f>'Annual Inc Statement Reported'!B101</f>
        <v>3.3469312071203412E-2</v>
      </c>
      <c r="T53" s="124">
        <f>'Annual Inc Statement Reported'!C101</f>
        <v>1.5415087840165346E-2</v>
      </c>
      <c r="U53" s="124">
        <f>'Annual Inc Statement Reported'!D101</f>
        <v>3.6056105610561058E-2</v>
      </c>
      <c r="V53" s="124">
        <f>'Annual Inc Statement Reported'!E101</f>
        <v>4.9991923760297208E-2</v>
      </c>
      <c r="W53" s="124">
        <f>'Annual Inc Statement Reported'!F101</f>
        <v>6.1407474382157927E-2</v>
      </c>
      <c r="X53" s="124">
        <f>'Annual Inc Statement Reported'!G101</f>
        <v>0.10845111047014711</v>
      </c>
      <c r="Y53" s="124">
        <f>'Annual Inc Statement Reported'!H101</f>
        <v>9.7840158070450364E-2</v>
      </c>
      <c r="Z53" s="124">
        <f>'Annual Inc Statement Reported'!I101</f>
        <v>8.5774058577405859E-2</v>
      </c>
      <c r="AA53" s="125">
        <f>'Annual Inc Statement Reported'!J101</f>
        <v>8.3097261567516525E-2</v>
      </c>
      <c r="AB53" s="229"/>
      <c r="AC53" s="124">
        <f>AC52/AC49</f>
        <v>-0.11633530360021506</v>
      </c>
      <c r="AD53" s="125">
        <f>AD52/AD49</f>
        <v>-1.4115226337448559</v>
      </c>
    </row>
    <row r="54" spans="2:30" x14ac:dyDescent="0.3">
      <c r="B54" s="327" t="s">
        <v>416</v>
      </c>
      <c r="C54" s="122"/>
      <c r="D54" s="122"/>
      <c r="E54" s="122"/>
      <c r="F54" s="122"/>
      <c r="G54" s="122"/>
      <c r="H54" s="122"/>
      <c r="I54" s="122"/>
      <c r="J54" s="122"/>
      <c r="K54" s="122"/>
      <c r="L54" s="122"/>
      <c r="M54" s="122"/>
      <c r="N54" s="122"/>
      <c r="O54" s="122"/>
      <c r="P54" s="122"/>
      <c r="R54" s="223" t="s">
        <v>416</v>
      </c>
      <c r="S54" s="122"/>
      <c r="T54" s="122"/>
      <c r="U54" s="122"/>
      <c r="V54" s="122"/>
      <c r="W54" s="122"/>
      <c r="X54" s="122"/>
      <c r="Y54" s="122"/>
      <c r="Z54" s="122"/>
      <c r="AA54" s="123"/>
      <c r="AB54" s="230"/>
      <c r="AC54" s="122"/>
      <c r="AD54" s="123"/>
    </row>
    <row r="55" spans="2:30" x14ac:dyDescent="0.3">
      <c r="B55" s="112" t="s">
        <v>414</v>
      </c>
      <c r="C55" s="128">
        <f>'Balance Sheet US$'!B34+'Balance Sheet US$'!B73</f>
        <v>12947.742626894065</v>
      </c>
      <c r="D55" s="128">
        <f>'Balance Sheet US$'!C34+'Balance Sheet US$'!C73</f>
        <v>11800.269938141035</v>
      </c>
      <c r="E55" s="128">
        <f>'Balance Sheet US$'!D34+'Balance Sheet US$'!D73</f>
        <v>11440.027024928975</v>
      </c>
      <c r="F55" s="128">
        <f>'Balance Sheet US$'!E34+'Balance Sheet US$'!E73</f>
        <v>11068.403873742474</v>
      </c>
      <c r="G55" s="128">
        <f>'Balance Sheet US$'!F34+'Balance Sheet US$'!F73</f>
        <v>11291.3433311425</v>
      </c>
      <c r="H55" s="128">
        <f>'Balance Sheet US$'!G34+'Balance Sheet US$'!G73</f>
        <v>11413.712814016186</v>
      </c>
      <c r="I55" s="128">
        <f>'Balance Sheet US$'!H34+'Balance Sheet US$'!H73</f>
        <v>13698.413256736549</v>
      </c>
      <c r="J55" s="128">
        <f>'Balance Sheet US$'!I34+'Balance Sheet US$'!I73</f>
        <v>16790.800071535858</v>
      </c>
      <c r="K55" s="128">
        <f>'Balance Sheet US$'!J34+'Balance Sheet US$'!J73</f>
        <v>16075.075295673254</v>
      </c>
      <c r="L55" s="128">
        <f>'Balance Sheet US$'!K34+'Balance Sheet US$'!K73</f>
        <v>21369.515011547348</v>
      </c>
      <c r="M55" s="128">
        <f>'Balance Sheet US$'!L34+'Balance Sheet US$'!L73</f>
        <v>21704.826964942571</v>
      </c>
      <c r="N55" s="128">
        <f>'Balance Sheet US$'!M34+'Balance Sheet US$'!M73</f>
        <v>24443.368828654406</v>
      </c>
      <c r="O55" s="128"/>
      <c r="P55" s="128"/>
      <c r="R55" s="104" t="s">
        <v>414</v>
      </c>
      <c r="S55" s="128">
        <f>'Balance Sheet Reported'!B34+'Balance Sheet Reported'!B73</f>
        <v>12966</v>
      </c>
      <c r="T55" s="128">
        <f>'Balance Sheet Reported'!C34+'Balance Sheet Reported'!C73</f>
        <v>11978</v>
      </c>
      <c r="U55" s="128">
        <f>'Balance Sheet Reported'!D34+'Balance Sheet Reported'!D73</f>
        <v>11412</v>
      </c>
      <c r="V55" s="128">
        <f>'Balance Sheet Reported'!E34+'Balance Sheet Reported'!E73</f>
        <v>11696</v>
      </c>
      <c r="W55" s="128">
        <f>'Balance Sheet Reported'!F34+'Balance Sheet Reported'!F73</f>
        <v>12839</v>
      </c>
      <c r="X55" s="128">
        <f>'Balance Sheet Reported'!G34+'Balance Sheet Reported'!G73</f>
        <v>15598</v>
      </c>
      <c r="Y55" s="128">
        <f>'Balance Sheet Reported'!H34+'Balance Sheet Reported'!H73</f>
        <v>18348</v>
      </c>
      <c r="Z55" s="128">
        <f>'Balance Sheet Reported'!I34+'Balance Sheet Reported'!I73</f>
        <v>21219</v>
      </c>
      <c r="AA55" s="129">
        <f>'Balance Sheet Reported'!J34+'Balance Sheet Reported'!J73</f>
        <v>21883</v>
      </c>
      <c r="AB55" s="227"/>
      <c r="AC55" s="128"/>
      <c r="AD55" s="129">
        <f>'Balance Sheet US$'!AA34+'Balance Sheet US$'!AA73</f>
        <v>0</v>
      </c>
    </row>
    <row r="56" spans="2:30" x14ac:dyDescent="0.3">
      <c r="B56" s="324" t="s">
        <v>417</v>
      </c>
      <c r="C56" s="114">
        <f>'Balance Sheet US$'!B25+'Balance Sheet US$'!B26</f>
        <v>2202.9599999999996</v>
      </c>
      <c r="D56" s="114">
        <f>'Balance Sheet US$'!C25+'Balance Sheet US$'!C26</f>
        <v>2054.5011999999997</v>
      </c>
      <c r="E56" s="114">
        <f>'Balance Sheet US$'!D25+'Balance Sheet US$'!D26</f>
        <v>2032.0779999999997</v>
      </c>
      <c r="F56" s="114">
        <f>'Balance Sheet US$'!E25+'Balance Sheet US$'!E26</f>
        <v>2076.6902399999999</v>
      </c>
      <c r="G56" s="114">
        <f>'Balance Sheet US$'!F25+'Balance Sheet US$'!F26</f>
        <v>1962.6424999999999</v>
      </c>
      <c r="H56" s="114">
        <f>'Balance Sheet US$'!G25+'Balance Sheet US$'!G26</f>
        <v>1929.5847999999999</v>
      </c>
      <c r="I56" s="114">
        <f>'Balance Sheet US$'!H25+'Balance Sheet US$'!H26</f>
        <v>2218.9944134078214</v>
      </c>
      <c r="J56" s="114">
        <f>'Balance Sheet US$'!I25+'Balance Sheet US$'!I26</f>
        <v>3026.0122504176279</v>
      </c>
      <c r="K56" s="114">
        <f>'Balance Sheet US$'!J25+'Balance Sheet US$'!J26</f>
        <v>3457.7242341879087</v>
      </c>
      <c r="L56" s="114">
        <f>'Balance Sheet US$'!K25+'Balance Sheet US$'!K26</f>
        <v>4533.4872979214779</v>
      </c>
      <c r="M56" s="114">
        <f>'Balance Sheet US$'!L25+'Balance Sheet US$'!L26</f>
        <v>5630.9586367389838</v>
      </c>
      <c r="N56" s="114">
        <f>'Balance Sheet US$'!M25+'Balance Sheet US$'!M26</f>
        <v>7020.0064536947402</v>
      </c>
      <c r="O56" s="114"/>
      <c r="P56" s="114"/>
      <c r="R56" s="101" t="s">
        <v>417</v>
      </c>
      <c r="S56" s="114">
        <f>'Balance Sheet Reported'!B25+'Balance Sheet Reported'!B26</f>
        <v>2192</v>
      </c>
      <c r="T56" s="114">
        <f>'Balance Sheet Reported'!C25+'Balance Sheet Reported'!C26</f>
        <v>2099</v>
      </c>
      <c r="U56" s="114">
        <f>'Balance Sheet Reported'!D25+'Balance Sheet Reported'!D26</f>
        <v>2026</v>
      </c>
      <c r="V56" s="114">
        <f>'Balance Sheet Reported'!E25+'Balance Sheet Reported'!E26</f>
        <v>2208</v>
      </c>
      <c r="W56" s="114">
        <f>'Balance Sheet Reported'!F25+'Balance Sheet Reported'!F26</f>
        <v>2275</v>
      </c>
      <c r="X56" s="114">
        <f>'Balance Sheet Reported'!G25+'Balance Sheet Reported'!G26</f>
        <v>2672</v>
      </c>
      <c r="Y56" s="114">
        <f>'Balance Sheet Reported'!H25+'Balance Sheet Reported'!H26</f>
        <v>2979</v>
      </c>
      <c r="Z56" s="114">
        <f>'Balance Sheet Reported'!I25+'Balance Sheet Reported'!I26</f>
        <v>3804</v>
      </c>
      <c r="AA56" s="115">
        <f>'Balance Sheet Reported'!J25+'Balance Sheet Reported'!J26</f>
        <v>4707</v>
      </c>
      <c r="AB56" s="228"/>
      <c r="AC56" s="114"/>
      <c r="AD56" s="115">
        <f>'Balance Sheet US$'!AA25+'Balance Sheet US$'!AA26</f>
        <v>0</v>
      </c>
    </row>
    <row r="57" spans="2:30" x14ac:dyDescent="0.3">
      <c r="B57" s="112" t="s">
        <v>418</v>
      </c>
      <c r="C57" s="128">
        <f>'Balance Sheet US$'!B70</f>
        <v>4479.2849999999989</v>
      </c>
      <c r="D57" s="128">
        <f>'Balance Sheet US$'!C70</f>
        <v>4238.2039999999997</v>
      </c>
      <c r="E57" s="128">
        <f>'Balance Sheet US$'!D70</f>
        <v>3966.8649999999993</v>
      </c>
      <c r="F57" s="128">
        <f>'Balance Sheet US$'!E70</f>
        <v>4075.3164900000002</v>
      </c>
      <c r="G57" s="128">
        <f>'Balance Sheet US$'!F70</f>
        <v>4499.8432000000003</v>
      </c>
      <c r="H57" s="128">
        <f>'Balance Sheet US$'!G70</f>
        <v>4617.4270999999999</v>
      </c>
      <c r="I57" s="128">
        <f>'Balance Sheet US$'!H70</f>
        <v>4929.6089385474861</v>
      </c>
      <c r="J57" s="128">
        <f>'Balance Sheet US$'!I70</f>
        <v>4867.5523029194183</v>
      </c>
      <c r="K57" s="128">
        <f>'Balance Sheet US$'!J70</f>
        <v>7287.8865790053624</v>
      </c>
      <c r="L57" s="128">
        <f>'Balance Sheet US$'!K70</f>
        <v>7114.7036181678213</v>
      </c>
      <c r="M57" s="128">
        <f>'Balance Sheet US$'!L70</f>
        <v>9750.7694617521192</v>
      </c>
      <c r="N57" s="128">
        <f>'Balance Sheet US$'!M70</f>
        <v>13457.566957082929</v>
      </c>
      <c r="O57" s="128"/>
      <c r="P57" s="128"/>
      <c r="R57" s="104" t="s">
        <v>418</v>
      </c>
      <c r="S57" s="128">
        <f>'Balance Sheet Reported'!B70</f>
        <v>4457</v>
      </c>
      <c r="T57" s="128">
        <f>'Balance Sheet Reported'!C70</f>
        <v>4330</v>
      </c>
      <c r="U57" s="128">
        <f>'Balance Sheet Reported'!D70</f>
        <v>3955</v>
      </c>
      <c r="V57" s="128">
        <f>'Balance Sheet Reported'!E70</f>
        <v>4333</v>
      </c>
      <c r="W57" s="128">
        <f>'Balance Sheet Reported'!F70</f>
        <v>5216</v>
      </c>
      <c r="X57" s="128">
        <f>'Balance Sheet Reported'!G70</f>
        <v>6394</v>
      </c>
      <c r="Y57" s="128">
        <f>'Balance Sheet Reported'!H70</f>
        <v>6618</v>
      </c>
      <c r="Z57" s="128">
        <f>'Balance Sheet Reported'!I70</f>
        <v>6119</v>
      </c>
      <c r="AA57" s="129">
        <f>'Balance Sheet Reported'!J70</f>
        <v>9921</v>
      </c>
      <c r="AB57" s="227"/>
      <c r="AC57" s="128"/>
      <c r="AD57" s="129">
        <f>'Balance Sheet US$'!AA70</f>
        <v>0</v>
      </c>
    </row>
    <row r="58" spans="2:30" x14ac:dyDescent="0.3">
      <c r="B58" s="324" t="s">
        <v>325</v>
      </c>
      <c r="C58" s="114">
        <f>'Balance Sheet US$'!B75</f>
        <v>4627.3476268940676</v>
      </c>
      <c r="D58" s="114">
        <f>'Balance Sheet US$'!C75</f>
        <v>4555.1923381410361</v>
      </c>
      <c r="E58" s="114">
        <f>'Balance Sheet US$'!D75</f>
        <v>4287.6340249289742</v>
      </c>
      <c r="F58" s="114">
        <f>'Balance Sheet US$'!E75</f>
        <v>4160.2110237424749</v>
      </c>
      <c r="G58" s="114">
        <f>'Balance Sheet US$'!F75</f>
        <v>4642.5144311425011</v>
      </c>
      <c r="H58" s="114">
        <f>'Balance Sheet US$'!G75</f>
        <v>4621.8920640161869</v>
      </c>
      <c r="I58" s="114">
        <f>'Balance Sheet US$'!H75</f>
        <v>5150.9272232169942</v>
      </c>
      <c r="J58" s="114">
        <f>'Balance Sheet US$'!I75</f>
        <v>4553.9056319526881</v>
      </c>
      <c r="K58" s="114">
        <f>'Balance Sheet US$'!J75</f>
        <v>3830.1623448174537</v>
      </c>
      <c r="L58" s="114">
        <f>'Balance Sheet US$'!K75</f>
        <v>2581.2163202463435</v>
      </c>
      <c r="M58" s="114">
        <f>'Balance Sheet US$'!L75</f>
        <v>4119.8108250131354</v>
      </c>
      <c r="N58" s="114">
        <f>'Balance Sheet US$'!M75</f>
        <v>6437.5605033881884</v>
      </c>
      <c r="O58" s="114"/>
      <c r="P58" s="114"/>
      <c r="R58" s="101" t="s">
        <v>325</v>
      </c>
      <c r="S58" s="114">
        <f>'Balance Sheet Reported'!B75</f>
        <v>4687</v>
      </c>
      <c r="T58" s="114">
        <f>'Balance Sheet Reported'!C75</f>
        <v>4576</v>
      </c>
      <c r="U58" s="114">
        <f>'Balance Sheet Reported'!D75</f>
        <v>4281</v>
      </c>
      <c r="V58" s="114">
        <f>'Balance Sheet Reported'!E75</f>
        <v>4351</v>
      </c>
      <c r="W58" s="114">
        <f>'Balance Sheet Reported'!F75</f>
        <v>5132</v>
      </c>
      <c r="X58" s="114">
        <f>'Balance Sheet Reported'!G75</f>
        <v>6193</v>
      </c>
      <c r="Y58" s="114">
        <f>'Balance Sheet Reported'!H75</f>
        <v>6873</v>
      </c>
      <c r="Z58" s="114">
        <f>'Balance Sheet Reported'!I75</f>
        <v>5836</v>
      </c>
      <c r="AA58" s="115">
        <f>'Balance Sheet Reported'!J75</f>
        <v>5214</v>
      </c>
      <c r="AB58" s="228"/>
      <c r="AC58" s="114"/>
      <c r="AD58" s="115">
        <f>'Balance Sheet US$'!AA75</f>
        <v>0</v>
      </c>
    </row>
    <row r="59" spans="2:30" x14ac:dyDescent="0.3">
      <c r="B59" s="112" t="s">
        <v>326</v>
      </c>
      <c r="C59" s="224">
        <f>'Balance Sheet US$'!B93</f>
        <v>3.4394280315656593</v>
      </c>
      <c r="D59" s="224">
        <f>'Balance Sheet US$'!C93</f>
        <v>3.6266592912431515</v>
      </c>
      <c r="E59" s="224">
        <f>'Balance Sheet US$'!D93</f>
        <v>2.9538873030186044</v>
      </c>
      <c r="F59" s="224">
        <f>'Balance Sheet US$'!E93</f>
        <v>2.8278450905940615</v>
      </c>
      <c r="G59" s="224">
        <f>'Balance Sheet US$'!F93</f>
        <v>2.8913613216576914</v>
      </c>
      <c r="H59" s="224">
        <f>'Balance Sheet US$'!G93</f>
        <v>2.3507436137535835</v>
      </c>
      <c r="I59" s="224">
        <f>'Balance Sheet US$'!H93</f>
        <v>2.5151859960560379</v>
      </c>
      <c r="J59" s="224">
        <f>'Balance Sheet US$'!I93</f>
        <v>2.0720491635121756</v>
      </c>
      <c r="K59" s="224">
        <f>'Balance Sheet US$'!J93</f>
        <v>1.5449012956857413</v>
      </c>
      <c r="L59" s="224">
        <f>'Balance Sheet US$'!K93</f>
        <v>0.94197357957504735</v>
      </c>
      <c r="M59" s="224">
        <f>'Balance Sheet US$'!L93</f>
        <v>-3.3538472344344243</v>
      </c>
      <c r="N59" s="224">
        <f>'Balance Sheet US$'!M93</f>
        <v>-4.4115124378363619</v>
      </c>
      <c r="O59" s="224"/>
      <c r="P59" s="224"/>
      <c r="R59" s="104" t="s">
        <v>326</v>
      </c>
      <c r="S59" s="224">
        <f>'Balance Sheet Reported'!B93</f>
        <v>3.3816738816738816</v>
      </c>
      <c r="T59" s="224">
        <f>'Balance Sheet Reported'!C93</f>
        <v>3.6843800322061191</v>
      </c>
      <c r="U59" s="224">
        <f>'Balance Sheet Reported'!D93</f>
        <v>2.9503790489317714</v>
      </c>
      <c r="V59" s="224">
        <f>'Balance Sheet Reported'!E93</f>
        <v>2.8719471947194721</v>
      </c>
      <c r="W59" s="224">
        <f>'Balance Sheet Reported'!F93</f>
        <v>3.0712148414123281</v>
      </c>
      <c r="X59" s="224">
        <f>'Balance Sheet Reported'!G93</f>
        <v>2.4653662420382165</v>
      </c>
      <c r="Y59" s="224">
        <f>'Balance Sheet Reported'!H93</f>
        <v>2.5324244657332349</v>
      </c>
      <c r="Z59" s="224">
        <f>'Balance Sheet Reported'!I93</f>
        <v>2.0455660708026637</v>
      </c>
      <c r="AA59" s="225">
        <f>'Balance Sheet Reported'!J93</f>
        <v>1.6227824463118581</v>
      </c>
      <c r="AB59" s="231"/>
      <c r="AC59" s="224"/>
      <c r="AD59" s="225">
        <f>'Balance Sheet US$'!AA93</f>
        <v>0</v>
      </c>
    </row>
    <row r="60" spans="2:30" x14ac:dyDescent="0.3">
      <c r="B60" s="324" t="s">
        <v>292</v>
      </c>
      <c r="C60" s="130">
        <f>'Annual Cash Flow US$'!B64</f>
        <v>0.71303173531397712</v>
      </c>
      <c r="D60" s="130">
        <f>'Annual Cash Flow US$'!C64</f>
        <v>0.90243902439024382</v>
      </c>
      <c r="E60" s="130">
        <f>'Annual Cash Flow US$'!D64</f>
        <v>0.61568123393316188</v>
      </c>
      <c r="F60" s="130">
        <f>'Annual Cash Flow US$'!E64</f>
        <v>0.50254582484725052</v>
      </c>
      <c r="G60" s="130">
        <f>'Annual Cash Flow US$'!F64</f>
        <v>0.89595959595959596</v>
      </c>
      <c r="H60" s="130">
        <f>'Annual Cash Flow US$'!G64</f>
        <v>1.1867924528301887</v>
      </c>
      <c r="I60" s="130">
        <f>'Annual Cash Flow US$'!H64</f>
        <v>0.91706247716477907</v>
      </c>
      <c r="J60" s="130">
        <f>'Annual Cash Flow US$'!I64</f>
        <v>1.1822323462414579</v>
      </c>
      <c r="K60" s="130">
        <f>'Annual Cash Flow US$'!J64</f>
        <v>1.3218053927315356</v>
      </c>
      <c r="L60" s="130">
        <f>'Annual Cash Flow US$'!K64</f>
        <v>3.4234317343173433</v>
      </c>
      <c r="M60" s="130">
        <f>'Annual Cash Flow US$'!L64</f>
        <v>-0.86539168812063261</v>
      </c>
      <c r="N60" s="130">
        <f>'Annual Cash Flow US$'!M64</f>
        <v>-0.48023162939297126</v>
      </c>
      <c r="O60" s="130"/>
      <c r="P60" s="130"/>
      <c r="R60" s="101" t="s">
        <v>292</v>
      </c>
      <c r="S60" s="130">
        <f>'Annual Cash Flow Reported'!B64</f>
        <v>0.71303173531397701</v>
      </c>
      <c r="T60" s="130">
        <f>'Annual Cash Flow Reported'!C64</f>
        <v>0.90243902439024393</v>
      </c>
      <c r="U60" s="130">
        <f>'Annual Cash Flow Reported'!D64</f>
        <v>0.61568123393316199</v>
      </c>
      <c r="V60" s="130">
        <f>'Annual Cash Flow Reported'!E64</f>
        <v>0.50254582484725052</v>
      </c>
      <c r="W60" s="130">
        <f>'Annual Cash Flow Reported'!F64</f>
        <v>0.89595959595959596</v>
      </c>
      <c r="X60" s="130">
        <f>'Annual Cash Flow Reported'!G64</f>
        <v>1.1867924528301887</v>
      </c>
      <c r="Y60" s="130">
        <f>'Annual Cash Flow Reported'!H64</f>
        <v>0.91706247716477896</v>
      </c>
      <c r="Z60" s="130">
        <f>'Annual Cash Flow Reported'!I64</f>
        <v>1.1822323462414579</v>
      </c>
      <c r="AA60" s="131">
        <f>'Annual Cash Flow Reported'!J64</f>
        <v>1.3218053927315359</v>
      </c>
      <c r="AB60" s="232"/>
      <c r="AC60" s="130"/>
      <c r="AD60" s="131">
        <f>'Annual Cash Flow Reported'!AA64</f>
        <v>0</v>
      </c>
    </row>
    <row r="61" spans="2:30" s="330" customFormat="1" x14ac:dyDescent="0.3">
      <c r="B61" s="328" t="s">
        <v>628</v>
      </c>
      <c r="C61" s="334">
        <f>'Balance Sheet US$'!B86</f>
        <v>0.21040861880215089</v>
      </c>
      <c r="D61" s="334">
        <f>'Balance Sheet US$'!C86</f>
        <v>0.17495284374750253</v>
      </c>
      <c r="E61" s="334">
        <f>'Balance Sheet US$'!D86</f>
        <v>0.16760284256765673</v>
      </c>
      <c r="F61" s="334">
        <f>'Balance Sheet US$'!E86</f>
        <v>0.17271649242061057</v>
      </c>
      <c r="G61" s="334">
        <f>'Balance Sheet US$'!F86</f>
        <v>0.1538970803006329</v>
      </c>
      <c r="H61" s="334">
        <f>'Balance Sheet US$'!G86</f>
        <v>0.17776863484453417</v>
      </c>
      <c r="I61" s="334">
        <f>'Balance Sheet US$'!H86</f>
        <v>0.20036111987630859</v>
      </c>
      <c r="J61" s="334">
        <f>'Balance Sheet US$'!I86</f>
        <v>0.24170279295360789</v>
      </c>
      <c r="K61" s="334">
        <f>'Balance Sheet US$'!J86</f>
        <v>0.24890851451580315</v>
      </c>
      <c r="L61" s="334">
        <f>'Balance Sheet US$'!K86</f>
        <v>0.31443647982917822</v>
      </c>
      <c r="M61" s="334">
        <f>'Balance Sheet US$'!L86</f>
        <v>1.2699824506363739</v>
      </c>
      <c r="N61" s="334">
        <f>'Balance Sheet US$'!M86</f>
        <v>2.0276201914519549</v>
      </c>
      <c r="O61" s="329"/>
      <c r="P61" s="329"/>
      <c r="R61" s="331"/>
      <c r="S61" s="329"/>
      <c r="T61" s="329"/>
      <c r="U61" s="329"/>
      <c r="V61" s="329"/>
      <c r="W61" s="329"/>
      <c r="X61" s="329"/>
      <c r="Y61" s="329"/>
      <c r="Z61" s="329"/>
      <c r="AA61" s="332"/>
      <c r="AB61" s="333"/>
      <c r="AC61" s="329"/>
      <c r="AD61" s="332"/>
    </row>
    <row r="62" spans="2:30" x14ac:dyDescent="0.3">
      <c r="B62" s="236" t="s">
        <v>327</v>
      </c>
      <c r="C62" s="183"/>
      <c r="D62" s="183"/>
      <c r="E62" s="183"/>
      <c r="F62" s="183"/>
      <c r="G62" s="183"/>
      <c r="H62" s="183"/>
      <c r="I62" s="183"/>
      <c r="J62" s="183"/>
      <c r="K62" s="183"/>
      <c r="L62" s="183"/>
      <c r="M62" s="183"/>
      <c r="N62" s="183"/>
      <c r="O62" s="183"/>
      <c r="P62" s="183"/>
      <c r="R62" s="226" t="s">
        <v>327</v>
      </c>
      <c r="S62" s="87"/>
      <c r="T62" s="87"/>
      <c r="U62" s="87"/>
      <c r="V62" s="87"/>
      <c r="W62" s="87"/>
      <c r="X62" s="87"/>
      <c r="Y62" s="87"/>
      <c r="Z62" s="87"/>
      <c r="AA62" s="88"/>
      <c r="AB62" s="86"/>
      <c r="AC62" s="87"/>
      <c r="AD62" s="88"/>
    </row>
    <row r="63" spans="2:30" x14ac:dyDescent="0.3">
      <c r="B63" s="236"/>
      <c r="C63" s="183"/>
      <c r="D63" s="183"/>
      <c r="E63" s="183"/>
      <c r="F63" s="183"/>
      <c r="G63" s="183"/>
      <c r="H63" s="183"/>
      <c r="I63" s="183"/>
      <c r="J63" s="183"/>
      <c r="K63" s="183"/>
      <c r="L63" s="183"/>
      <c r="M63" s="183"/>
      <c r="N63" s="183"/>
    </row>
    <row r="64" spans="2:30" x14ac:dyDescent="0.3">
      <c r="B64" s="236"/>
      <c r="C64" s="183"/>
      <c r="D64" s="183"/>
      <c r="E64" s="183"/>
      <c r="F64" s="183"/>
      <c r="G64" s="183"/>
      <c r="H64" s="183"/>
      <c r="I64" s="183"/>
      <c r="J64" s="183"/>
      <c r="K64" s="183"/>
      <c r="L64" s="183"/>
      <c r="M64" s="183"/>
      <c r="N64" s="183"/>
    </row>
    <row r="65" spans="2:12" x14ac:dyDescent="0.3">
      <c r="C65" s="52">
        <v>2010</v>
      </c>
      <c r="D65" s="52">
        <v>2011</v>
      </c>
      <c r="E65" s="52">
        <v>2012</v>
      </c>
      <c r="F65" s="52">
        <v>2013</v>
      </c>
      <c r="G65" s="52">
        <v>2014</v>
      </c>
      <c r="H65" s="52">
        <v>2015</v>
      </c>
      <c r="I65" s="52">
        <v>2016</v>
      </c>
      <c r="J65" s="52">
        <v>2017</v>
      </c>
      <c r="K65" s="52">
        <v>2018</v>
      </c>
    </row>
    <row r="66" spans="2:12" x14ac:dyDescent="0.3">
      <c r="B66" s="85" t="s">
        <v>425</v>
      </c>
      <c r="C66" s="107">
        <f>'Annual Operational Data'!B9</f>
        <v>0</v>
      </c>
      <c r="D66" s="107">
        <f>'Annual Operational Data'!C9</f>
        <v>0</v>
      </c>
      <c r="E66" s="107">
        <f>'Annual Operational Data'!D9</f>
        <v>0</v>
      </c>
      <c r="F66" s="107">
        <f>'Annual Operational Data'!E9</f>
        <v>0</v>
      </c>
      <c r="G66" s="107">
        <f>'Annual Operational Data'!F9</f>
        <v>0</v>
      </c>
      <c r="H66" s="107">
        <f>'Annual Operational Data'!G9</f>
        <v>0</v>
      </c>
      <c r="I66" s="107">
        <f>'Annual Operational Data'!H9</f>
        <v>0</v>
      </c>
      <c r="J66" s="107">
        <f>'Annual Operational Data'!I9</f>
        <v>0</v>
      </c>
      <c r="K66" s="107">
        <f>'Annual Operational Data'!J9</f>
        <v>0</v>
      </c>
    </row>
    <row r="67" spans="2:12" x14ac:dyDescent="0.3">
      <c r="B67" s="85" t="s">
        <v>426</v>
      </c>
      <c r="C67" s="107">
        <f>'Annual Operational Data'!B10</f>
        <v>178</v>
      </c>
      <c r="D67" s="107">
        <f>'Annual Operational Data'!C10</f>
        <v>180</v>
      </c>
      <c r="E67" s="107">
        <f>'Annual Operational Data'!D10</f>
        <v>178</v>
      </c>
      <c r="F67" s="107">
        <f>'Annual Operational Data'!E10</f>
        <v>181</v>
      </c>
      <c r="G67" s="107">
        <f>'Annual Operational Data'!F10</f>
        <v>186</v>
      </c>
      <c r="H67" s="107">
        <f>'Annual Operational Data'!G10</f>
        <v>193</v>
      </c>
      <c r="I67" s="107">
        <f>'Annual Operational Data'!H10</f>
        <v>206</v>
      </c>
      <c r="J67" s="107">
        <f>'Annual Operational Data'!I10</f>
        <v>217</v>
      </c>
      <c r="K67" s="107">
        <f>'Annual Operational Data'!J10</f>
        <v>0</v>
      </c>
    </row>
    <row r="68" spans="2:12" x14ac:dyDescent="0.3">
      <c r="B68" s="85" t="s">
        <v>427</v>
      </c>
      <c r="C68" s="107">
        <f>'Annual Operational Data'!B11</f>
        <v>0</v>
      </c>
      <c r="D68" s="107">
        <f>'Annual Operational Data'!C11</f>
        <v>0</v>
      </c>
      <c r="E68" s="107">
        <f>'Annual Operational Data'!D11</f>
        <v>0</v>
      </c>
      <c r="F68" s="107">
        <f>'Annual Operational Data'!E11</f>
        <v>0</v>
      </c>
      <c r="G68" s="107">
        <f>'Annual Operational Data'!F11</f>
        <v>0</v>
      </c>
      <c r="H68" s="107">
        <f>'Annual Operational Data'!G11</f>
        <v>0</v>
      </c>
      <c r="I68" s="107">
        <f>'Annual Operational Data'!H11</f>
        <v>0</v>
      </c>
      <c r="J68" s="107">
        <f>'Annual Operational Data'!I11</f>
        <v>0</v>
      </c>
      <c r="K68" s="107">
        <f>'Annual Operational Data'!J11</f>
        <v>0</v>
      </c>
    </row>
    <row r="69" spans="2:12" x14ac:dyDescent="0.3">
      <c r="B69" s="85" t="s">
        <v>429</v>
      </c>
      <c r="C69" s="107">
        <f>'Annual Operational Data'!B13</f>
        <v>1470</v>
      </c>
      <c r="D69" s="107">
        <f>'Annual Operational Data'!C13</f>
        <v>1506</v>
      </c>
      <c r="E69" s="107">
        <f>'Annual Operational Data'!D13</f>
        <v>1515.8469945355191</v>
      </c>
      <c r="F69" s="107">
        <f>'Annual Operational Data'!E13</f>
        <v>1498</v>
      </c>
      <c r="G69" s="107">
        <f>'Annual Operational Data'!F13</f>
        <v>1519</v>
      </c>
      <c r="H69" s="107">
        <f>'Annual Operational Data'!G13</f>
        <v>1579</v>
      </c>
      <c r="I69" s="107">
        <f>'Annual Operational Data'!H13</f>
        <v>1565.7103825136612</v>
      </c>
      <c r="J69" s="107">
        <f>'Annual Operational Data'!I13</f>
        <v>1602</v>
      </c>
      <c r="K69" s="107">
        <f>'Annual Operational Data'!J13</f>
        <v>1586.027397260274</v>
      </c>
    </row>
    <row r="70" spans="2:12" x14ac:dyDescent="0.3">
      <c r="B70" s="85"/>
    </row>
    <row r="71" spans="2:12" x14ac:dyDescent="0.3">
      <c r="B71" s="85"/>
    </row>
    <row r="72" spans="2:12" x14ac:dyDescent="0.3">
      <c r="B72" s="85"/>
    </row>
    <row r="73" spans="2:12" x14ac:dyDescent="0.3">
      <c r="B73" s="85"/>
    </row>
    <row r="74" spans="2:12" x14ac:dyDescent="0.3">
      <c r="B74" s="85"/>
    </row>
    <row r="75" spans="2:12" x14ac:dyDescent="0.3">
      <c r="B75" s="85"/>
    </row>
    <row r="76" spans="2:12" x14ac:dyDescent="0.3">
      <c r="B76" s="85">
        <v>100</v>
      </c>
      <c r="C76" s="52">
        <f>B76*(1+C81)</f>
        <v>105.5</v>
      </c>
      <c r="D76" s="52">
        <f t="shared" ref="D76:K76" si="105">C76*(1+D81)</f>
        <v>111.72449999999999</v>
      </c>
      <c r="E76" s="52">
        <f t="shared" si="105"/>
        <v>111.72449999999999</v>
      </c>
      <c r="F76" s="52">
        <f t="shared" si="105"/>
        <v>113.95899</v>
      </c>
      <c r="G76" s="52">
        <f t="shared" si="105"/>
        <v>130.25512556999999</v>
      </c>
      <c r="H76" s="52">
        <f t="shared" si="105"/>
        <v>146.53701626624999</v>
      </c>
      <c r="I76" s="52">
        <f t="shared" si="105"/>
        <v>177.45632669842874</v>
      </c>
      <c r="J76" s="52">
        <f t="shared" si="105"/>
        <v>392.35593833022602</v>
      </c>
      <c r="K76" s="52">
        <f t="shared" si="105"/>
        <v>1259.8549179783556</v>
      </c>
      <c r="L76" s="52">
        <f>(I76/B76)^(1/7)-1</f>
        <v>8.5386706622161856E-2</v>
      </c>
    </row>
    <row r="77" spans="2:12" x14ac:dyDescent="0.3">
      <c r="B77" s="85"/>
    </row>
    <row r="78" spans="2:12" x14ac:dyDescent="0.3">
      <c r="B78" s="85"/>
      <c r="C78" s="52">
        <v>2010</v>
      </c>
      <c r="D78" s="52">
        <v>2011</v>
      </c>
      <c r="E78" s="52">
        <v>2012</v>
      </c>
      <c r="F78" s="52">
        <v>2013</v>
      </c>
      <c r="G78" s="52">
        <v>2014</v>
      </c>
      <c r="H78" s="52">
        <v>2015</v>
      </c>
      <c r="I78" s="52">
        <v>2016</v>
      </c>
      <c r="J78" s="52">
        <v>2017</v>
      </c>
      <c r="K78" s="52">
        <v>2018</v>
      </c>
    </row>
    <row r="79" spans="2:12" x14ac:dyDescent="0.3">
      <c r="B79" s="85" t="s">
        <v>258</v>
      </c>
      <c r="C79" s="133">
        <v>2E-3</v>
      </c>
      <c r="D79" s="133">
        <v>3.0000000000000001E-3</v>
      </c>
      <c r="E79" s="133">
        <v>0.01</v>
      </c>
      <c r="F79" s="133">
        <v>0.02</v>
      </c>
      <c r="G79" s="133">
        <v>4.8000000000000001E-2</v>
      </c>
      <c r="H79" s="133">
        <v>3.5000000000000003E-2</v>
      </c>
      <c r="I79" s="133">
        <v>5.7000000000000002E-2</v>
      </c>
      <c r="J79" s="133">
        <v>1.0569999999999999</v>
      </c>
      <c r="K79" s="133">
        <v>2.0569999999999999</v>
      </c>
    </row>
    <row r="80" spans="2:12" x14ac:dyDescent="0.3">
      <c r="B80" s="85" t="s">
        <v>422</v>
      </c>
      <c r="C80" s="133">
        <v>0.11700000000000001</v>
      </c>
      <c r="D80" s="133">
        <v>6.7000000000000004E-2</v>
      </c>
      <c r="E80" s="133">
        <v>2.8000000000000001E-2</v>
      </c>
      <c r="F80" s="133">
        <v>-1E-3</v>
      </c>
      <c r="G80" s="133">
        <v>9.8000000000000004E-2</v>
      </c>
      <c r="H80" s="133">
        <v>0.14199999999999999</v>
      </c>
      <c r="I80" s="133">
        <v>0.13900000000000001</v>
      </c>
      <c r="J80" s="133">
        <v>1.139</v>
      </c>
      <c r="K80" s="133">
        <v>2.1389999999999998</v>
      </c>
    </row>
    <row r="81" spans="2:17" x14ac:dyDescent="0.3">
      <c r="B81" s="85" t="s">
        <v>423</v>
      </c>
      <c r="C81" s="133">
        <v>5.5E-2</v>
      </c>
      <c r="D81" s="133">
        <v>5.8999999999999997E-2</v>
      </c>
      <c r="E81" s="133">
        <v>0</v>
      </c>
      <c r="F81" s="133">
        <v>0.02</v>
      </c>
      <c r="G81" s="133">
        <v>0.14299999999999999</v>
      </c>
      <c r="H81" s="133">
        <v>0.125</v>
      </c>
      <c r="I81" s="133">
        <v>0.21099999999999999</v>
      </c>
      <c r="J81" s="133">
        <v>1.2110000000000001</v>
      </c>
      <c r="K81" s="133">
        <v>2.2109999999999999</v>
      </c>
    </row>
    <row r="82" spans="2:17" x14ac:dyDescent="0.3">
      <c r="B82" s="85" t="s">
        <v>424</v>
      </c>
      <c r="C82" s="133">
        <v>0.23</v>
      </c>
      <c r="D82" s="133">
        <v>7.1999999999999995E-2</v>
      </c>
      <c r="E82" s="133">
        <v>1.7000000000000001E-2</v>
      </c>
      <c r="F82" s="133">
        <v>6.7000000000000004E-2</v>
      </c>
      <c r="G82" s="133">
        <v>4.2999999999999997E-2</v>
      </c>
      <c r="H82" s="133">
        <v>9.0999999999999998E-2</v>
      </c>
      <c r="I82" s="133">
        <v>0.21099999999999999</v>
      </c>
      <c r="J82" s="133">
        <v>1.2110000000000001</v>
      </c>
      <c r="K82" s="133">
        <v>2.2109999999999999</v>
      </c>
    </row>
    <row r="83" spans="2:17" x14ac:dyDescent="0.3">
      <c r="B83" s="85" t="s">
        <v>341</v>
      </c>
      <c r="C83" s="133">
        <v>7.1999999999999995E-2</v>
      </c>
      <c r="D83" s="133">
        <v>7.0999999999999994E-2</v>
      </c>
      <c r="E83" s="133">
        <v>1.4E-2</v>
      </c>
      <c r="F83" s="133">
        <v>-4.7E-2</v>
      </c>
      <c r="G83" s="133">
        <v>3.3000000000000002E-2</v>
      </c>
      <c r="H83" s="133">
        <v>0.114</v>
      </c>
      <c r="I83" s="133">
        <v>9.6000000000000002E-2</v>
      </c>
      <c r="J83" s="133">
        <v>1.0960000000000001</v>
      </c>
      <c r="K83" s="133">
        <v>2.0960000000000001</v>
      </c>
    </row>
    <row r="84" spans="2:17" x14ac:dyDescent="0.3">
      <c r="B84" s="85" t="s">
        <v>430</v>
      </c>
      <c r="C84" s="133"/>
      <c r="D84" s="133">
        <f t="shared" ref="D84:I84" si="106">D33</f>
        <v>4.668010583343829E-2</v>
      </c>
      <c r="E84" s="133">
        <f t="shared" si="106"/>
        <v>1.2172735479987873E-2</v>
      </c>
      <c r="F84" s="133">
        <f t="shared" si="106"/>
        <v>1.9384857809689349E-2</v>
      </c>
      <c r="G84" s="133">
        <f t="shared" si="106"/>
        <v>7.7523223426129828E-2</v>
      </c>
      <c r="H84" s="133">
        <f t="shared" si="106"/>
        <v>9.4493090987833206E-2</v>
      </c>
      <c r="I84" s="133">
        <f t="shared" si="106"/>
        <v>0.14659148520483245</v>
      </c>
      <c r="J84" s="133">
        <f t="shared" ref="J84:K84" si="107">J33</f>
        <v>0.11610551517373757</v>
      </c>
      <c r="K84" s="133">
        <f t="shared" si="107"/>
        <v>7.1251884203609839E-2</v>
      </c>
    </row>
    <row r="85" spans="2:17" x14ac:dyDescent="0.3">
      <c r="B85" s="85" t="s">
        <v>431</v>
      </c>
      <c r="C85" s="107">
        <f>C32</f>
        <v>63496</v>
      </c>
      <c r="D85" s="107">
        <f t="shared" ref="D85:I85" si="108">D32</f>
        <v>66460</v>
      </c>
      <c r="E85" s="107">
        <f t="shared" si="108"/>
        <v>67269</v>
      </c>
      <c r="F85" s="107">
        <f t="shared" si="108"/>
        <v>68573</v>
      </c>
      <c r="G85" s="107">
        <f t="shared" si="108"/>
        <v>73889</v>
      </c>
      <c r="H85" s="107">
        <f t="shared" si="108"/>
        <v>80871</v>
      </c>
      <c r="I85" s="107">
        <f t="shared" si="108"/>
        <v>92726</v>
      </c>
      <c r="J85" s="107">
        <f t="shared" ref="J85:K85" si="109">J32</f>
        <v>103492</v>
      </c>
      <c r="K85" s="107">
        <f t="shared" si="109"/>
        <v>110866</v>
      </c>
    </row>
    <row r="86" spans="2:17" x14ac:dyDescent="0.3">
      <c r="B86" s="85"/>
    </row>
    <row r="87" spans="2:17" x14ac:dyDescent="0.3">
      <c r="B87" s="85"/>
      <c r="C87" s="52">
        <v>2010</v>
      </c>
      <c r="D87" s="52">
        <v>2011</v>
      </c>
      <c r="E87" s="52">
        <v>2012</v>
      </c>
      <c r="F87" s="52">
        <v>2013</v>
      </c>
      <c r="G87" s="52">
        <v>2014</v>
      </c>
      <c r="H87" s="52">
        <v>2015</v>
      </c>
      <c r="I87" s="52">
        <v>2016</v>
      </c>
      <c r="J87" s="52">
        <v>2017</v>
      </c>
      <c r="K87" s="52">
        <v>2018</v>
      </c>
      <c r="L87" s="72"/>
      <c r="M87" s="72"/>
    </row>
    <row r="88" spans="2:17" x14ac:dyDescent="0.3">
      <c r="B88" s="52" t="s">
        <v>432</v>
      </c>
      <c r="C88" s="107">
        <f>C32</f>
        <v>63496</v>
      </c>
      <c r="D88" s="107">
        <f t="shared" ref="D88:I88" si="110">D32</f>
        <v>66460</v>
      </c>
      <c r="E88" s="107">
        <f t="shared" si="110"/>
        <v>67269</v>
      </c>
      <c r="F88" s="107">
        <f t="shared" si="110"/>
        <v>68573</v>
      </c>
      <c r="G88" s="107">
        <f t="shared" si="110"/>
        <v>73889</v>
      </c>
      <c r="H88" s="107">
        <f t="shared" si="110"/>
        <v>80871</v>
      </c>
      <c r="I88" s="107">
        <f t="shared" si="110"/>
        <v>92726</v>
      </c>
      <c r="J88" s="107">
        <f t="shared" ref="J88:K88" si="111">J32</f>
        <v>103492</v>
      </c>
      <c r="K88" s="107">
        <f t="shared" si="111"/>
        <v>110866</v>
      </c>
      <c r="L88" s="107"/>
      <c r="M88" s="133"/>
      <c r="Q88" s="222"/>
    </row>
    <row r="89" spans="2:17" ht="27" customHeight="1" x14ac:dyDescent="0.3">
      <c r="B89" s="52" t="s">
        <v>433</v>
      </c>
      <c r="C89" s="107">
        <f>C34</f>
        <v>51875</v>
      </c>
      <c r="D89" s="107">
        <f t="shared" ref="D89:I89" si="112">D34</f>
        <v>54223</v>
      </c>
      <c r="E89" s="107">
        <f t="shared" si="112"/>
        <v>55646</v>
      </c>
      <c r="F89" s="107">
        <f t="shared" si="112"/>
        <v>56791</v>
      </c>
      <c r="G89" s="107">
        <f t="shared" si="112"/>
        <v>61616</v>
      </c>
      <c r="H89" s="107">
        <f t="shared" si="112"/>
        <v>67545</v>
      </c>
      <c r="I89" s="107">
        <f t="shared" si="112"/>
        <v>76481</v>
      </c>
      <c r="J89" s="107">
        <f t="shared" ref="J89:K89" si="113">J34</f>
        <v>85137</v>
      </c>
      <c r="K89" s="107">
        <f t="shared" si="113"/>
        <v>92360</v>
      </c>
      <c r="M89" s="133"/>
    </row>
    <row r="90" spans="2:17" ht="43.5" customHeight="1" x14ac:dyDescent="0.3">
      <c r="B90" s="52" t="s">
        <v>319</v>
      </c>
      <c r="C90" s="132">
        <f>C44</f>
        <v>0.81698059720297345</v>
      </c>
      <c r="D90" s="132">
        <f t="shared" ref="D90:I90" si="114">D44</f>
        <v>0.81587421005115857</v>
      </c>
      <c r="E90" s="132">
        <f t="shared" si="114"/>
        <v>0.82721610251378797</v>
      </c>
      <c r="F90" s="132">
        <f t="shared" si="114"/>
        <v>0.82818310413719687</v>
      </c>
      <c r="G90" s="132">
        <f t="shared" si="114"/>
        <v>0.83389949789549189</v>
      </c>
      <c r="H90" s="132">
        <f t="shared" si="114"/>
        <v>0.83521905256519646</v>
      </c>
      <c r="I90" s="132">
        <f t="shared" si="114"/>
        <v>0.82480641891163209</v>
      </c>
      <c r="J90" s="132">
        <f t="shared" ref="J90:K90" si="115">J44</f>
        <v>0.82264329610018161</v>
      </c>
      <c r="K90" s="132">
        <f t="shared" si="115"/>
        <v>0.83307776955964863</v>
      </c>
    </row>
    <row r="91" spans="2:17" ht="31.5" customHeight="1" x14ac:dyDescent="0.3"/>
    <row r="92" spans="2:17" ht="51" customHeight="1" x14ac:dyDescent="0.3"/>
    <row r="108" spans="2:13" x14ac:dyDescent="0.3">
      <c r="C108" s="52">
        <v>2010</v>
      </c>
      <c r="D108" s="52">
        <v>2011</v>
      </c>
      <c r="E108" s="52">
        <v>2012</v>
      </c>
      <c r="F108" s="52">
        <v>2013</v>
      </c>
      <c r="G108" s="52">
        <v>2014</v>
      </c>
      <c r="H108" s="52">
        <v>2015</v>
      </c>
      <c r="I108" s="52">
        <v>2016</v>
      </c>
      <c r="J108" s="52">
        <v>2017</v>
      </c>
      <c r="K108" s="52">
        <v>2018</v>
      </c>
    </row>
    <row r="109" spans="2:13" x14ac:dyDescent="0.3">
      <c r="B109" s="52" t="s">
        <v>335</v>
      </c>
      <c r="C109" s="107"/>
      <c r="D109" s="107">
        <f>'Annual Operational Data'!C27</f>
        <v>33900</v>
      </c>
      <c r="E109" s="107">
        <f>'Annual Operational Data'!D27</f>
        <v>34900</v>
      </c>
      <c r="F109" s="107">
        <f>'Annual Operational Data'!E27</f>
        <v>35761</v>
      </c>
      <c r="G109" s="107">
        <f>'Annual Operational Data'!F27</f>
        <v>38526</v>
      </c>
      <c r="H109" s="107">
        <f>'Annual Operational Data'!G27</f>
        <v>41126</v>
      </c>
      <c r="I109" s="107">
        <f>'Annual Operational Data'!H27</f>
        <v>44849</v>
      </c>
      <c r="J109" s="107">
        <f>'Annual Operational Data'!I27</f>
        <v>48126</v>
      </c>
      <c r="K109" s="107">
        <f>'Annual Operational Data'!J27</f>
        <v>50904</v>
      </c>
      <c r="M109" s="52">
        <v>200</v>
      </c>
    </row>
    <row r="110" spans="2:13" x14ac:dyDescent="0.3">
      <c r="B110" s="52" t="s">
        <v>336</v>
      </c>
      <c r="D110" s="133"/>
      <c r="E110" s="133">
        <f t="shared" ref="E110:K110" si="116">(E109/D109)-1</f>
        <v>2.9498525073746285E-2</v>
      </c>
      <c r="F110" s="133">
        <f t="shared" si="116"/>
        <v>2.4670487106017269E-2</v>
      </c>
      <c r="G110" s="133">
        <f t="shared" si="116"/>
        <v>7.731886692206591E-2</v>
      </c>
      <c r="H110" s="133">
        <f t="shared" si="116"/>
        <v>6.7486891969059881E-2</v>
      </c>
      <c r="I110" s="133">
        <f t="shared" si="116"/>
        <v>9.0526674123425632E-2</v>
      </c>
      <c r="J110" s="133">
        <f t="shared" si="116"/>
        <v>7.3067403955495047E-2</v>
      </c>
      <c r="K110" s="133">
        <f t="shared" si="116"/>
        <v>5.7723475875826047E-2</v>
      </c>
      <c r="M110" s="52">
        <f>M109/45</f>
        <v>4.4444444444444446</v>
      </c>
    </row>
    <row r="128" spans="3:11" x14ac:dyDescent="0.3">
      <c r="C128" s="52">
        <v>2010</v>
      </c>
      <c r="D128" s="52">
        <v>2011</v>
      </c>
      <c r="E128" s="52">
        <v>2012</v>
      </c>
      <c r="F128" s="52">
        <v>2013</v>
      </c>
      <c r="G128" s="52">
        <v>2014</v>
      </c>
      <c r="H128" s="52">
        <v>2015</v>
      </c>
      <c r="I128" s="52">
        <v>2016</v>
      </c>
      <c r="J128" s="52">
        <v>2017</v>
      </c>
      <c r="K128" s="52">
        <v>2018</v>
      </c>
    </row>
    <row r="129" spans="2:11" x14ac:dyDescent="0.3">
      <c r="B129" s="52" t="s">
        <v>434</v>
      </c>
      <c r="C129" s="134">
        <f>C38</f>
        <v>16.48909115056216</v>
      </c>
      <c r="D129" s="134">
        <f t="shared" ref="D129:I129" si="117">D38</f>
        <v>17.669532384225025</v>
      </c>
      <c r="E129" s="134">
        <f t="shared" si="117"/>
        <v>18.023703000368187</v>
      </c>
      <c r="F129" s="134">
        <f t="shared" si="117"/>
        <v>17.534151810697704</v>
      </c>
      <c r="G129" s="134">
        <f t="shared" si="117"/>
        <v>17.259612042388685</v>
      </c>
      <c r="H129" s="134">
        <f t="shared" si="117"/>
        <v>13.421959336069534</v>
      </c>
      <c r="I129" s="134">
        <f t="shared" si="117"/>
        <v>11.943764530822012</v>
      </c>
      <c r="J129" s="134">
        <f t="shared" ref="J129:K129" si="118">J38</f>
        <v>12.097126808758352</v>
      </c>
      <c r="K129" s="134">
        <f t="shared" si="118"/>
        <v>12.530033213716196</v>
      </c>
    </row>
    <row r="130" spans="2:11" x14ac:dyDescent="0.3">
      <c r="B130" s="52" t="s">
        <v>435</v>
      </c>
      <c r="C130" s="134">
        <f>C36</f>
        <v>20.182965430286167</v>
      </c>
      <c r="D130" s="134">
        <f t="shared" ref="D130:I130" si="119">D36</f>
        <v>21.657177254220446</v>
      </c>
      <c r="E130" s="134">
        <f t="shared" si="119"/>
        <v>21.788385097433196</v>
      </c>
      <c r="F130" s="134">
        <f t="shared" si="119"/>
        <v>21.171829904649922</v>
      </c>
      <c r="G130" s="134">
        <f t="shared" si="119"/>
        <v>20.697472640224252</v>
      </c>
      <c r="H130" s="134">
        <f t="shared" si="119"/>
        <v>16.069987022981408</v>
      </c>
      <c r="I130" s="134">
        <f t="shared" si="119"/>
        <v>14.480688143264365</v>
      </c>
      <c r="J130" s="134">
        <f t="shared" ref="J130:K130" si="120">J36</f>
        <v>14.705191017912533</v>
      </c>
      <c r="K130" s="134">
        <f t="shared" si="120"/>
        <v>15.040652471544606</v>
      </c>
    </row>
    <row r="131" spans="2:11" x14ac:dyDescent="0.3">
      <c r="B131" s="52" t="s">
        <v>436</v>
      </c>
      <c r="C131" s="135"/>
      <c r="D131" s="135">
        <f>'Annual Inc Statement Reported'!C8*1000/'Credit Paper Workings'!D109</f>
        <v>301.12094395280235</v>
      </c>
      <c r="E131" s="135">
        <f>'Annual Inc Statement Reported'!D8*1000/'Credit Paper Workings'!E109</f>
        <v>307.65042979942695</v>
      </c>
      <c r="F131" s="135">
        <f>'Annual Inc Statement Reported'!E8*1000/'Credit Paper Workings'!F109</f>
        <v>308.18489415844078</v>
      </c>
      <c r="G131" s="135">
        <f>'Annual Inc Statement Reported'!F8*1000/'Credit Paper Workings'!G109</f>
        <v>306.39048953953176</v>
      </c>
      <c r="H131" s="135">
        <f>'Annual Inc Statement Reported'!G8*1000/'Credit Paper Workings'!H109</f>
        <v>301.99873559305547</v>
      </c>
      <c r="I131" s="135">
        <f>'Annual Inc Statement Reported'!H8*1000/'Credit Paper Workings'!I109</f>
        <v>293.16149746928585</v>
      </c>
      <c r="J131" s="135">
        <f>'Annual Inc Statement Reported'!M8*1000/'Credit Paper Workings'!J109</f>
        <v>60.92340938370112</v>
      </c>
      <c r="K131" s="135">
        <f>'Annual Inc Statement Reported'!N8*1000/'Credit Paper Workings'!K109</f>
        <v>0</v>
      </c>
    </row>
    <row r="133" spans="2:11" x14ac:dyDescent="0.3">
      <c r="D133" s="135">
        <f>'Annual Income Statement US$'!C8*1000/'Annual Income Statement US$'!C55</f>
        <v>304.52245982909335</v>
      </c>
      <c r="E133" s="135">
        <f>'Annual Income Statement US$'!D8*1000/'Annual Income Statement US$'!D55</f>
        <v>307.76122384000934</v>
      </c>
      <c r="F133" s="135">
        <f>'Annual Income Statement US$'!E8*1000/'Annual Income Statement US$'!E55</f>
        <v>299.26674515288477</v>
      </c>
      <c r="G133" s="135">
        <f>'Annual Income Statement US$'!F8*1000/'Annual Income Statement US$'!F55</f>
        <v>294.4080806568</v>
      </c>
      <c r="H133" s="135">
        <f>'Annual Income Statement US$'!G8*1000/'Annual Income Statement US$'!G55</f>
        <v>236.37417373813662</v>
      </c>
      <c r="I133" s="135">
        <f>'Annual Income Statement US$'!H8*1000/'Annual Income Statement US$'!H55</f>
        <v>221.21389142290141</v>
      </c>
      <c r="J133" s="135">
        <f>'Annual Income Statement US$'!M8*1000/'Annual Income Statement US$'!M55</f>
        <v>251.39918824814089</v>
      </c>
      <c r="K133" s="135" t="e">
        <f>'Annual Income Statement US$'!N8*1000/'Annual Income Statement US$'!N55</f>
        <v>#DIV/0!</v>
      </c>
    </row>
    <row r="146" spans="2:11" x14ac:dyDescent="0.3">
      <c r="I146" s="133">
        <f t="shared" ref="I146:K147" si="121">(I149/C149)-1</f>
        <v>-3.4291683087199432E-2</v>
      </c>
      <c r="J146" s="133">
        <f t="shared" si="121"/>
        <v>-4.9169422241449268E-2</v>
      </c>
      <c r="K146" s="133">
        <f t="shared" si="121"/>
        <v>-6.3340217315260627E-2</v>
      </c>
    </row>
    <row r="147" spans="2:11" x14ac:dyDescent="0.3">
      <c r="I147" s="133">
        <f t="shared" si="121"/>
        <v>-0.41154176194161174</v>
      </c>
      <c r="J147" s="133">
        <f t="shared" si="121"/>
        <v>-0.44306757652407558</v>
      </c>
      <c r="K147" s="133">
        <f t="shared" si="121"/>
        <v>-0.32372128585415116</v>
      </c>
    </row>
    <row r="148" spans="2:11" x14ac:dyDescent="0.3">
      <c r="C148" s="52">
        <v>2010</v>
      </c>
      <c r="D148" s="52">
        <v>2011</v>
      </c>
      <c r="E148" s="52">
        <v>2012</v>
      </c>
      <c r="F148" s="52">
        <v>2013</v>
      </c>
      <c r="G148" s="52">
        <v>2014</v>
      </c>
      <c r="H148" s="52">
        <v>2015</v>
      </c>
      <c r="I148" s="52">
        <v>2016</v>
      </c>
      <c r="J148" s="52">
        <v>2017</v>
      </c>
      <c r="K148" s="52">
        <v>2018</v>
      </c>
    </row>
    <row r="149" spans="2:11" x14ac:dyDescent="0.3">
      <c r="B149" s="52" t="s">
        <v>440</v>
      </c>
      <c r="C149" s="136">
        <f>'Cost Analysis Reported'!B71-C150</f>
        <v>12.241716013607157</v>
      </c>
      <c r="D149" s="136">
        <f>'Cost Analysis Reported'!C71-D150</f>
        <v>12.124586217273547</v>
      </c>
      <c r="E149" s="136">
        <f>'Cost Analysis Reported'!D71-E150</f>
        <v>12.073912203243694</v>
      </c>
      <c r="F149" s="136">
        <f>'Cost Analysis Reported'!E71-F150</f>
        <v>12.000349991979352</v>
      </c>
      <c r="G149" s="136">
        <f>'Cost Analysis Reported'!F71-G150</f>
        <v>11.787952198568124</v>
      </c>
      <c r="H149" s="136">
        <f>'Cost Analysis Reported'!G71-H150</f>
        <v>12.241718292094818</v>
      </c>
      <c r="I149" s="136">
        <f>'Cost Analysis Reported'!H71-I150</f>
        <v>11.821926967625046</v>
      </c>
      <c r="J149" s="136">
        <f>'Cost Analysis Reported'!I71-J150</f>
        <v>11.528427318053568</v>
      </c>
      <c r="K149" s="136">
        <f>'Cost Analysis Reported'!J71-K150</f>
        <v>11.309147980444861</v>
      </c>
    </row>
    <row r="150" spans="2:11" x14ac:dyDescent="0.3">
      <c r="B150" s="52" t="s">
        <v>439</v>
      </c>
      <c r="C150" s="136">
        <f>'Cost Analysis Reported'!B51</f>
        <v>4.176641048255008</v>
      </c>
      <c r="D150" s="136">
        <f>'Cost Analysis Reported'!C51</f>
        <v>5.0782425519109236</v>
      </c>
      <c r="E150" s="136">
        <f>'Cost Analysis Reported'!D51</f>
        <v>5.2936716764036928</v>
      </c>
      <c r="F150" s="136">
        <f>'Cost Analysis Reported'!E51</f>
        <v>5.1536318959357184</v>
      </c>
      <c r="G150" s="136">
        <f>'Cost Analysis Reported'!F51</f>
        <v>5.0711201938042194</v>
      </c>
      <c r="H150" s="136">
        <f>'Cost Analysis Reported'!G51</f>
        <v>3.0468276638102658</v>
      </c>
      <c r="I150" s="136">
        <f>'Cost Analysis Reported'!H51</f>
        <v>2.4577788322584819</v>
      </c>
      <c r="J150" s="136">
        <f>'Cost Analysis Reported'!I51</f>
        <v>2.8282379314343138</v>
      </c>
      <c r="K150" s="136">
        <f>'Cost Analysis Reported'!J51</f>
        <v>3.5799974744285894</v>
      </c>
    </row>
    <row r="151" spans="2:11" x14ac:dyDescent="0.3">
      <c r="D151" s="132"/>
      <c r="E151" s="132"/>
      <c r="F151" s="132"/>
      <c r="G151" s="132"/>
      <c r="H151" s="132"/>
      <c r="I151" s="132"/>
      <c r="J151" s="132"/>
      <c r="K151" s="132"/>
    </row>
    <row r="167" spans="2:11" x14ac:dyDescent="0.3">
      <c r="C167" s="52">
        <v>2010</v>
      </c>
      <c r="D167" s="52">
        <v>2011</v>
      </c>
      <c r="E167" s="52">
        <v>2012</v>
      </c>
      <c r="F167" s="52">
        <v>2013</v>
      </c>
      <c r="G167" s="52">
        <v>2014</v>
      </c>
      <c r="H167" s="52">
        <v>2015</v>
      </c>
      <c r="I167" s="52">
        <v>2016</v>
      </c>
      <c r="J167" s="52">
        <v>2017</v>
      </c>
      <c r="K167" s="52">
        <v>2018</v>
      </c>
    </row>
    <row r="168" spans="2:11" x14ac:dyDescent="0.3">
      <c r="B168" s="85" t="s">
        <v>15</v>
      </c>
      <c r="C168" s="136">
        <f>'Cost Analysis Reported'!B49</f>
        <v>2.9686909411616478</v>
      </c>
      <c r="D168" s="136">
        <f>'Cost Analysis Reported'!C49</f>
        <v>2.9957869395124885</v>
      </c>
      <c r="E168" s="136">
        <f>'Cost Analysis Reported'!D49</f>
        <v>2.9508391681160715</v>
      </c>
      <c r="F168" s="136">
        <f>'Cost Analysis Reported'!E49</f>
        <v>3.1572193137240605</v>
      </c>
      <c r="G168" s="136">
        <f>'Cost Analysis Reported'!F49</f>
        <v>3.0884164083963785</v>
      </c>
      <c r="H168" s="136">
        <f>'Cost Analysis Reported'!G49</f>
        <v>2.8737124556392279</v>
      </c>
      <c r="I168" s="136">
        <f>'Cost Analysis Reported'!H49</f>
        <v>2.7068998986260597</v>
      </c>
      <c r="J168" s="136">
        <f>'Cost Analysis Reported'!I49</f>
        <v>2.5808758164882311</v>
      </c>
      <c r="K168" s="136">
        <f>'Cost Analysis Reported'!J49</f>
        <v>2.5914166651633503</v>
      </c>
    </row>
    <row r="169" spans="2:11" x14ac:dyDescent="0.3">
      <c r="B169" s="85" t="s">
        <v>437</v>
      </c>
      <c r="C169" s="136">
        <f>'Cost Analysis Reported'!B63</f>
        <v>1.4709588005543657</v>
      </c>
      <c r="D169" s="136">
        <f>'Cost Analysis Reported'!C63</f>
        <v>1.5091784532049353</v>
      </c>
      <c r="E169" s="136">
        <f>'Cost Analysis Reported'!D63</f>
        <v>1.5936018076677221</v>
      </c>
      <c r="F169" s="136">
        <f>'Cost Analysis Reported'!E63</f>
        <v>1.6376708033774225</v>
      </c>
      <c r="G169" s="136">
        <f>'Cost Analysis Reported'!F63</f>
        <v>1.5996968425611391</v>
      </c>
      <c r="H169" s="136">
        <f>'Cost Analysis Reported'!G63</f>
        <v>2.8180682815842513</v>
      </c>
      <c r="I169" s="136">
        <f>'Cost Analysis Reported'!H63</f>
        <v>2.596898388801415</v>
      </c>
      <c r="J169" s="136">
        <f>'Cost Analysis Reported'!I63</f>
        <v>2.5286978703667917</v>
      </c>
      <c r="K169" s="136">
        <f>'Cost Analysis Reported'!J63</f>
        <v>2.2621903920047624</v>
      </c>
    </row>
    <row r="170" spans="2:11" x14ac:dyDescent="0.3">
      <c r="B170" s="85" t="s">
        <v>16</v>
      </c>
      <c r="C170" s="136">
        <f>'Cost Analysis Reported'!B51</f>
        <v>4.176641048255008</v>
      </c>
      <c r="D170" s="136">
        <f>'Cost Analysis Reported'!C51</f>
        <v>5.0782425519109236</v>
      </c>
      <c r="E170" s="136">
        <f>'Cost Analysis Reported'!D51</f>
        <v>5.2936716764036928</v>
      </c>
      <c r="F170" s="136">
        <f>'Cost Analysis Reported'!E51</f>
        <v>5.1536318959357184</v>
      </c>
      <c r="G170" s="136">
        <f>'Cost Analysis Reported'!F51</f>
        <v>5.0711201938042194</v>
      </c>
      <c r="H170" s="136">
        <f>'Cost Analysis Reported'!G51</f>
        <v>3.0468276638102658</v>
      </c>
      <c r="I170" s="136">
        <f>'Cost Analysis Reported'!H51</f>
        <v>2.4577788322584819</v>
      </c>
      <c r="J170" s="136">
        <f>'Cost Analysis Reported'!I51</f>
        <v>2.8282379314343138</v>
      </c>
      <c r="K170" s="136">
        <f>'Cost Analysis Reported'!J51</f>
        <v>3.5799974744285894</v>
      </c>
    </row>
    <row r="171" spans="2:11" x14ac:dyDescent="0.3">
      <c r="B171" s="85" t="s">
        <v>17</v>
      </c>
      <c r="C171" s="136">
        <f>'Cost Analysis Reported'!B53</f>
        <v>1.0662088950485069</v>
      </c>
      <c r="D171" s="136">
        <f>'Cost Analysis Reported'!C53</f>
        <v>1.0246764971411375</v>
      </c>
      <c r="E171" s="136">
        <f>'Cost Analysis Reported'!D53</f>
        <v>0.99897426749319895</v>
      </c>
      <c r="F171" s="136">
        <f>'Cost Analysis Reported'!E53</f>
        <v>0.92164554562291279</v>
      </c>
      <c r="G171" s="136">
        <f>'Cost Analysis Reported'!F53</f>
        <v>0.98526167629823114</v>
      </c>
      <c r="H171" s="136">
        <f>'Cost Analysis Reported'!G53</f>
        <v>0.95584325654437319</v>
      </c>
      <c r="I171" s="136">
        <f>'Cost Analysis Reported'!H53</f>
        <v>0.94903263378124803</v>
      </c>
      <c r="J171" s="136">
        <f>'Cost Analysis Reported'!I53</f>
        <v>0.90635024929463148</v>
      </c>
      <c r="K171" s="136">
        <f>'Cost Analysis Reported'!J53</f>
        <v>0.81449677989645153</v>
      </c>
    </row>
    <row r="172" spans="2:11" x14ac:dyDescent="0.3">
      <c r="B172" s="85" t="s">
        <v>18</v>
      </c>
      <c r="C172" s="136">
        <f>'Cost Analysis Reported'!B55</f>
        <v>2.4521229683759609</v>
      </c>
      <c r="D172" s="136">
        <f>'Cost Analysis Reported'!C55</f>
        <v>2.2238940716220283</v>
      </c>
      <c r="E172" s="136">
        <f>'Cost Analysis Reported'!D55</f>
        <v>2.186742778991809</v>
      </c>
      <c r="F172" s="136">
        <f>'Cost Analysis Reported'!E55</f>
        <v>2.3318215624225278</v>
      </c>
      <c r="G172" s="136">
        <f>'Cost Analysis Reported'!F55</f>
        <v>2.3237559041264602</v>
      </c>
      <c r="H172" s="136">
        <f>'Cost Analysis Reported'!G55</f>
        <v>1.8931384550704209</v>
      </c>
      <c r="I172" s="136">
        <f>'Cost Analysis Reported'!H55</f>
        <v>1.8301231585531565</v>
      </c>
      <c r="J172" s="136">
        <f>'Cost Analysis Reported'!I55</f>
        <v>1.7643875855138562</v>
      </c>
      <c r="K172" s="136">
        <f>'Cost Analysis Reported'!J55</f>
        <v>1.8030775891616906</v>
      </c>
    </row>
    <row r="173" spans="2:11" x14ac:dyDescent="0.3">
      <c r="B173" s="52" t="s">
        <v>438</v>
      </c>
      <c r="C173" s="136">
        <f>'Cost Analysis Reported'!B65</f>
        <v>2.261559783293436</v>
      </c>
      <c r="D173" s="136">
        <f>'Cost Analysis Reported'!C65</f>
        <v>1.8507372855853146</v>
      </c>
      <c r="E173" s="136">
        <f>'Cost Analysis Reported'!D65</f>
        <v>1.9399723498193819</v>
      </c>
      <c r="F173" s="136">
        <f>'Cost Analysis Reported'!E65</f>
        <v>1.7514181966663265</v>
      </c>
      <c r="G173" s="136">
        <f>'Cost Analysis Reported'!F65</f>
        <v>1.722854552098418</v>
      </c>
      <c r="H173" s="136">
        <f>'Cost Analysis Reported'!G65</f>
        <v>1.7027117260822793</v>
      </c>
      <c r="I173" s="136">
        <f>'Cost Analysis Reported'!H65</f>
        <v>1.6025710156806074</v>
      </c>
      <c r="J173" s="136">
        <f>'Cost Analysis Reported'!I65</f>
        <v>1.5875623236578673</v>
      </c>
      <c r="K173" s="136">
        <f>'Cost Analysis Reported'!J65</f>
        <v>1.5613443255822343</v>
      </c>
    </row>
    <row r="174" spans="2:11" x14ac:dyDescent="0.3">
      <c r="B174" s="85" t="s">
        <v>28</v>
      </c>
      <c r="C174" s="136">
        <f>'Cost Analysis Reported'!B69</f>
        <v>1.0693586997606148</v>
      </c>
      <c r="D174" s="136">
        <f>'Cost Analysis Reported'!C69</f>
        <v>1.0953957267529342</v>
      </c>
      <c r="E174" s="136">
        <f>'Cost Analysis Reported'!D69</f>
        <v>1.0078936805958167</v>
      </c>
      <c r="F174" s="136">
        <f>'Cost Analysis Reported'!E69</f>
        <v>0.84289735026905632</v>
      </c>
      <c r="G174" s="136">
        <f>'Cost Analysis Reported'!F69</f>
        <v>0.7348861129532136</v>
      </c>
      <c r="H174" s="136">
        <f>'Cost Analysis Reported'!G69</f>
        <v>0.80993186680021267</v>
      </c>
      <c r="I174" s="136">
        <f>'Cost Analysis Reported'!H69</f>
        <v>0.88001207859715724</v>
      </c>
      <c r="J174" s="136">
        <f>'Cost Analysis Reported'!I69</f>
        <v>0.92374289800177789</v>
      </c>
      <c r="K174" s="136">
        <f>'Cost Analysis Reported'!J69</f>
        <v>1.5487164685295762</v>
      </c>
    </row>
    <row r="175" spans="2:11" x14ac:dyDescent="0.3">
      <c r="B175" s="85" t="s">
        <v>19</v>
      </c>
      <c r="C175" s="136">
        <f>'Cost Analysis Reported'!B57</f>
        <v>0.4078997102179665</v>
      </c>
      <c r="D175" s="136">
        <f>'Cost Analysis Reported'!C57</f>
        <v>0.92085464941318085</v>
      </c>
      <c r="E175" s="136">
        <f>'Cost Analysis Reported'!D57</f>
        <v>0.8964010168130937</v>
      </c>
      <c r="F175" s="136">
        <f>'Cost Analysis Reported'!E57</f>
        <v>0.89393784725766701</v>
      </c>
      <c r="G175" s="136">
        <f>'Cost Analysis Reported'!F57</f>
        <v>0.90947231658298255</v>
      </c>
      <c r="H175" s="136">
        <f>'Cost Analysis Reported'!G57</f>
        <v>0.75181461834279284</v>
      </c>
      <c r="I175" s="136">
        <f>'Cost Analysis Reported'!H57</f>
        <v>0.75814766085024698</v>
      </c>
      <c r="J175" s="136">
        <f>'Cost Analysis Reported'!I57</f>
        <v>0.75078266919182157</v>
      </c>
      <c r="K175" s="136">
        <f>'Cost Analysis Reported'!J57</f>
        <v>0.72790576010679564</v>
      </c>
    </row>
    <row r="176" spans="2:11" x14ac:dyDescent="0.3">
      <c r="B176" s="85" t="s">
        <v>26</v>
      </c>
      <c r="C176" s="136">
        <f>'Cost Analysis Reported'!B67</f>
        <v>0.54491621519465794</v>
      </c>
      <c r="D176" s="136">
        <f>'Cost Analysis Reported'!C67</f>
        <v>0.50406259404152876</v>
      </c>
      <c r="E176" s="136">
        <f>'Cost Analysis Reported'!D67</f>
        <v>0.49948713374659948</v>
      </c>
      <c r="F176" s="136">
        <f>'Cost Analysis Reported'!E67</f>
        <v>0.46373937263937703</v>
      </c>
      <c r="G176" s="136">
        <f>'Cost Analysis Reported'!F67</f>
        <v>0.42360838555129993</v>
      </c>
      <c r="H176" s="136">
        <f>'Cost Analysis Reported'!G67</f>
        <v>0.43649763203125969</v>
      </c>
      <c r="I176" s="136">
        <f>'Cost Analysis Reported'!H67</f>
        <v>0.49824213273515516</v>
      </c>
      <c r="J176" s="136">
        <f>'Cost Analysis Reported'!I67</f>
        <v>0.48602790553859238</v>
      </c>
      <c r="K176" s="136">
        <f>'Cost Analysis Reported'!J67</f>
        <v>0</v>
      </c>
    </row>
    <row r="178" spans="2:11" x14ac:dyDescent="0.3">
      <c r="C178" s="136">
        <f>SUM(C168:C176)</f>
        <v>16.418357061862164</v>
      </c>
    </row>
    <row r="179" spans="2:11" x14ac:dyDescent="0.3">
      <c r="C179" s="52">
        <f>C170/C178</f>
        <v>0.25438848920863311</v>
      </c>
    </row>
    <row r="182" spans="2:11" x14ac:dyDescent="0.3">
      <c r="C182" s="52">
        <v>2010</v>
      </c>
      <c r="D182" s="52">
        <v>2011</v>
      </c>
      <c r="E182" s="52">
        <v>2012</v>
      </c>
      <c r="F182" s="52">
        <v>2013</v>
      </c>
      <c r="G182" s="52">
        <v>2014</v>
      </c>
      <c r="H182" s="52">
        <v>2015</v>
      </c>
      <c r="I182" s="52">
        <v>2016</v>
      </c>
      <c r="J182" s="52">
        <v>2017</v>
      </c>
      <c r="K182" s="52">
        <v>2018</v>
      </c>
    </row>
    <row r="183" spans="2:11" x14ac:dyDescent="0.3">
      <c r="B183" s="52" t="s">
        <v>319</v>
      </c>
      <c r="C183" s="132">
        <f>C44</f>
        <v>0.81698059720297345</v>
      </c>
      <c r="D183" s="132">
        <f t="shared" ref="D183:I183" si="122">D44</f>
        <v>0.81587421005115857</v>
      </c>
      <c r="E183" s="132">
        <f t="shared" si="122"/>
        <v>0.82721610251378797</v>
      </c>
      <c r="F183" s="132">
        <f t="shared" si="122"/>
        <v>0.82818310413719687</v>
      </c>
      <c r="G183" s="132">
        <f t="shared" si="122"/>
        <v>0.83389949789549189</v>
      </c>
      <c r="H183" s="132">
        <f t="shared" si="122"/>
        <v>0.83521905256519646</v>
      </c>
      <c r="I183" s="132">
        <f t="shared" si="122"/>
        <v>0.82480641891163209</v>
      </c>
      <c r="J183" s="132">
        <f t="shared" ref="J183:K183" si="123">J44</f>
        <v>0.82264329610018161</v>
      </c>
      <c r="K183" s="132">
        <f t="shared" si="123"/>
        <v>0.83307776955964863</v>
      </c>
    </row>
    <row r="184" spans="2:11" x14ac:dyDescent="0.3">
      <c r="B184" s="52" t="s">
        <v>441</v>
      </c>
      <c r="C184" s="132">
        <f>C45</f>
        <v>0.78963681863906898</v>
      </c>
      <c r="D184" s="132">
        <f t="shared" ref="D184:I184" si="124">D45</f>
        <v>0.80329743743669435</v>
      </c>
      <c r="E184" s="132">
        <f t="shared" si="124"/>
        <v>0.797389911358794</v>
      </c>
      <c r="F184" s="132">
        <f t="shared" si="124"/>
        <v>0.78678063753560379</v>
      </c>
      <c r="G184" s="132">
        <f t="shared" si="124"/>
        <v>0.78269183584118029</v>
      </c>
      <c r="H184" s="132">
        <f t="shared" si="124"/>
        <v>0.74463861882867688</v>
      </c>
      <c r="I184" s="132">
        <f t="shared" si="124"/>
        <v>0.74410722850779598</v>
      </c>
      <c r="J184" s="132">
        <f t="shared" ref="J184:K184" si="125">J45</f>
        <v>0.97969264862572625</v>
      </c>
      <c r="K184" s="132">
        <f t="shared" si="125"/>
        <v>0</v>
      </c>
    </row>
    <row r="201" spans="2:14" x14ac:dyDescent="0.3">
      <c r="I201" s="72"/>
      <c r="J201" s="72"/>
      <c r="K201" s="72"/>
    </row>
    <row r="202" spans="2:14" s="137" customFormat="1" x14ac:dyDescent="0.3">
      <c r="B202" s="146" t="s">
        <v>348</v>
      </c>
      <c r="C202" s="147"/>
      <c r="D202" s="147"/>
      <c r="E202" s="147"/>
      <c r="F202" s="147"/>
      <c r="G202" s="147"/>
      <c r="H202" s="147"/>
      <c r="I202" s="148" t="s">
        <v>334</v>
      </c>
      <c r="J202" s="148" t="s">
        <v>334</v>
      </c>
      <c r="K202" s="148" t="s">
        <v>334</v>
      </c>
      <c r="L202" s="147"/>
      <c r="M202" s="147"/>
      <c r="N202" s="149"/>
    </row>
    <row r="203" spans="2:14" s="137" customFormat="1" x14ac:dyDescent="0.3">
      <c r="B203" s="150" t="s">
        <v>349</v>
      </c>
      <c r="C203" s="151">
        <v>2010</v>
      </c>
      <c r="D203" s="151">
        <v>2011</v>
      </c>
      <c r="E203" s="151">
        <v>2012</v>
      </c>
      <c r="F203" s="151">
        <v>2013</v>
      </c>
      <c r="G203" s="151">
        <v>2014</v>
      </c>
      <c r="H203" s="151">
        <v>2015</v>
      </c>
      <c r="I203" s="151">
        <v>2016</v>
      </c>
      <c r="J203" s="151">
        <v>2017</v>
      </c>
      <c r="K203" s="151">
        <v>2018</v>
      </c>
      <c r="L203" s="151"/>
      <c r="M203" s="152" t="s">
        <v>337</v>
      </c>
      <c r="N203" s="153" t="s">
        <v>338</v>
      </c>
    </row>
    <row r="204" spans="2:14" s="137" customFormat="1" x14ac:dyDescent="0.3">
      <c r="B204" s="154" t="s">
        <v>339</v>
      </c>
      <c r="C204" s="155">
        <f>'Annual Income Statement US$'!B8</f>
        <v>9150.7391840340133</v>
      </c>
      <c r="D204" s="155">
        <f>'Annual Income Statement US$'!C8</f>
        <v>10323.311388206264</v>
      </c>
      <c r="E204" s="155">
        <f>'Annual Income Statement US$'!D8</f>
        <v>10740.866712016326</v>
      </c>
      <c r="F204" s="155">
        <f>'Annual Income Statement US$'!E8</f>
        <v>10702.078073412313</v>
      </c>
      <c r="G204" s="155">
        <f>'Annual Income Statement US$'!F8</f>
        <v>11342.365715383876</v>
      </c>
      <c r="H204" s="155">
        <f>'Annual Income Statement US$'!G8</f>
        <v>9721.1242691546067</v>
      </c>
      <c r="I204" s="155">
        <f>'Annual Income Statement US$'!H8</f>
        <v>9921.2218164257047</v>
      </c>
      <c r="J204" s="155">
        <f>'Annual Income Statement US$'!M8</f>
        <v>2257.8161096565532</v>
      </c>
      <c r="K204" s="155">
        <f>'Annual Income Statement US$'!N8</f>
        <v>0</v>
      </c>
      <c r="L204" s="156"/>
      <c r="M204" s="155">
        <f>'Interim Inc Statement US$'!F8+'Interim Inc Statement US$'!J8</f>
        <v>4422.3659313094104</v>
      </c>
      <c r="N204" s="157">
        <f>'Interim Inc Statement US$'!H8+'Interim Inc Statement US$'!K8</f>
        <v>5760.7990503880337</v>
      </c>
    </row>
    <row r="205" spans="2:14" s="137" customFormat="1" x14ac:dyDescent="0.3">
      <c r="B205" s="154" t="s">
        <v>340</v>
      </c>
      <c r="C205" s="155">
        <f>'Annual Income Statement US$'!B10</f>
        <v>452.34374241644747</v>
      </c>
      <c r="D205" s="155">
        <f>'Annual Income Statement US$'!C10</f>
        <v>486.43346176794796</v>
      </c>
      <c r="E205" s="155">
        <f>'Annual Income Statement US$'!D10</f>
        <v>488.17574326757637</v>
      </c>
      <c r="F205" s="155">
        <f>'Annual Income Statement US$'!E10</f>
        <v>460.28355020392308</v>
      </c>
      <c r="G205" s="155">
        <f>'Annual Income Statement US$'!F10</f>
        <v>482.36763716729126</v>
      </c>
      <c r="H205" s="155">
        <f>'Annual Income Statement US$'!G10</f>
        <v>396.04580355815062</v>
      </c>
      <c r="I205" s="155">
        <f>'Annual Income Statement US$'!H10</f>
        <v>386.34511484712203</v>
      </c>
      <c r="J205" s="155">
        <f>'Annual Income Statement US$'!M10</f>
        <v>994.14754350839371</v>
      </c>
      <c r="K205" s="155">
        <f>'Annual Income Statement US$'!N10</f>
        <v>0</v>
      </c>
      <c r="L205" s="156"/>
      <c r="M205" s="155">
        <f>'Interim Inc Statement US$'!F10+'Interim Inc Statement US$'!J10</f>
        <v>185.64814535622429</v>
      </c>
      <c r="N205" s="157">
        <f>'Interim Inc Statement US$'!H10+'Interim Inc Statement US$'!K10</f>
        <v>214.05427328602872</v>
      </c>
    </row>
    <row r="206" spans="2:14" s="137" customFormat="1" x14ac:dyDescent="0.3">
      <c r="B206" s="154" t="s">
        <v>341</v>
      </c>
      <c r="C206" s="140">
        <f>'Annual Income Statement US$'!B11</f>
        <v>866.83039051048843</v>
      </c>
      <c r="D206" s="140">
        <f>'Annual Income Statement US$'!C11</f>
        <v>933.42637258173806</v>
      </c>
      <c r="E206" s="140">
        <f>'Annual Income Statement US$'!D11</f>
        <v>895.32231603377215</v>
      </c>
      <c r="F206" s="140">
        <f>'Annual Income Statement US$'!E11</f>
        <v>861.33229753350156</v>
      </c>
      <c r="G206" s="140">
        <f>'Annual Income Statement US$'!F11</f>
        <v>928.22138944940912</v>
      </c>
      <c r="H206" s="140">
        <f>'Annual Income Statement US$'!G11</f>
        <v>737.30266196003538</v>
      </c>
      <c r="I206" s="140">
        <f>'Annual Income Statement US$'!H11</f>
        <v>767.40816757719358</v>
      </c>
      <c r="J206" s="140">
        <f>'Annual Income Statement US$'!M11</f>
        <v>210.22639765901741</v>
      </c>
      <c r="K206" s="140">
        <f>'Annual Income Statement US$'!N11</f>
        <v>0</v>
      </c>
      <c r="L206" s="144"/>
      <c r="M206" s="140">
        <f>'Interim Inc Statement US$'!F11+'Interim Inc Statement US$'!J11</f>
        <v>576.17050719166866</v>
      </c>
      <c r="N206" s="158">
        <f>'Interim Inc Statement US$'!H11+'Interim Inc Statement US$'!K11</f>
        <v>342.36301647536033</v>
      </c>
    </row>
    <row r="207" spans="2:14" s="139" customFormat="1" x14ac:dyDescent="0.3">
      <c r="B207" s="159" t="s">
        <v>257</v>
      </c>
      <c r="C207" s="160">
        <f>SUM(C204:C206)</f>
        <v>10469.913316960949</v>
      </c>
      <c r="D207" s="160">
        <f t="shared" ref="D207:I207" si="126">SUM(D204:D206)</f>
        <v>11743.171222555951</v>
      </c>
      <c r="E207" s="160">
        <f t="shared" si="126"/>
        <v>12124.364771317676</v>
      </c>
      <c r="F207" s="160">
        <f t="shared" si="126"/>
        <v>12023.693921149737</v>
      </c>
      <c r="G207" s="160">
        <f t="shared" si="126"/>
        <v>12752.954742000577</v>
      </c>
      <c r="H207" s="160">
        <f t="shared" si="126"/>
        <v>10854.472734672792</v>
      </c>
      <c r="I207" s="160">
        <f t="shared" si="126"/>
        <v>11074.97509885002</v>
      </c>
      <c r="J207" s="160">
        <f t="shared" ref="J207:K207" si="127">SUM(J204:J206)</f>
        <v>3462.1900508239642</v>
      </c>
      <c r="K207" s="160">
        <f t="shared" si="127"/>
        <v>0</v>
      </c>
      <c r="L207" s="161"/>
      <c r="M207" s="160">
        <f>SUM(M204:M206)</f>
        <v>5184.1845838573036</v>
      </c>
      <c r="N207" s="162">
        <f>SUM(N204:N206)</f>
        <v>6317.2163401494226</v>
      </c>
    </row>
    <row r="208" spans="2:14" s="139" customFormat="1" ht="8.25" customHeight="1" x14ac:dyDescent="0.3">
      <c r="B208" s="159"/>
      <c r="C208" s="160"/>
      <c r="D208" s="160"/>
      <c r="E208" s="160"/>
      <c r="F208" s="160"/>
      <c r="G208" s="160"/>
      <c r="H208" s="160"/>
      <c r="I208" s="160"/>
      <c r="J208" s="160"/>
      <c r="K208" s="160"/>
      <c r="L208" s="161"/>
      <c r="M208" s="160"/>
      <c r="N208" s="162"/>
    </row>
    <row r="209" spans="2:19" s="137" customFormat="1" x14ac:dyDescent="0.3">
      <c r="B209" s="154" t="s">
        <v>342</v>
      </c>
      <c r="C209" s="155">
        <f>'Annual Income Statement US$'!B24+'Annual Income Statement US$'!B27+'Annual Income Statement US$'!B29</f>
        <v>-10119.492520797134</v>
      </c>
      <c r="D209" s="155">
        <f>'Annual Income Statement US$'!C24+'Annual Income Statement US$'!C27+'Annual Income Statement US$'!C29</f>
        <v>-11562.149206638149</v>
      </c>
      <c r="E209" s="155">
        <f>'Annual Income Statement US$'!D24+'Annual Income Statement US$'!D27+'Annual Income Statement US$'!D29</f>
        <v>-11687.207394662079</v>
      </c>
      <c r="F209" s="155">
        <f>'Annual Income Statement US$'!E24+'Annual Income Statement US$'!E27+'Annual Income Statement US$'!E29</f>
        <v>-11422.606331326471</v>
      </c>
      <c r="G209" s="155">
        <f>'Annual Income Statement US$'!F24+'Annual Income Statement US$'!F27+'Annual Income Statement US$'!F29</f>
        <v>-11969.828000384357</v>
      </c>
      <c r="H209" s="155">
        <f>'Annual Income Statement US$'!G24+'Annual Income Statement US$'!G27+'Annual Income Statement US$'!G29</f>
        <v>-9677.2931130295947</v>
      </c>
      <c r="I209" s="155">
        <f>'Annual Income Statement US$'!H24+'Annual Income Statement US$'!H27+'Annual Income Statement US$'!H29</f>
        <v>-9991.3977845522313</v>
      </c>
      <c r="J209" s="155">
        <f>'Annual Income Statement US$'!M24+'Annual Income Statement US$'!M27+'Annual Income Statement US$'!M29</f>
        <v>-6195.9032804558747</v>
      </c>
      <c r="K209" s="155">
        <f>'Annual Income Statement US$'!N24+'Annual Income Statement US$'!N27+'Annual Income Statement US$'!N29</f>
        <v>0</v>
      </c>
      <c r="L209" s="156"/>
      <c r="M209" s="155">
        <f>'Interim Inc Statement US$'!F24+'Interim Inc Statement US$'!F27+'Interim Inc Statement US$'!F29+'Interim Inc Statement US$'!J24+'Interim Inc Statement US$'!J27+'Interim Inc Statement US$'!J29</f>
        <v>-5090.2427648670073</v>
      </c>
      <c r="N209" s="157">
        <f>('Interim Inc Statement US$'!H24+'Interim Inc Statement US$'!H27+'Interim Inc Statement US$'!H29+'Interim Inc Statement US$'!K24+'Interim Inc Statement US$'!K27+'Interim Inc Statement US$'!K29)</f>
        <v>-5421.2613913732966</v>
      </c>
    </row>
    <row r="210" spans="2:19" s="137" customFormat="1" ht="7.5" customHeight="1" x14ac:dyDescent="0.3">
      <c r="B210" s="154"/>
      <c r="C210" s="155"/>
      <c r="D210" s="155"/>
      <c r="E210" s="155"/>
      <c r="F210" s="155"/>
      <c r="G210" s="155"/>
      <c r="H210" s="155"/>
      <c r="I210" s="155"/>
      <c r="J210" s="155"/>
      <c r="K210" s="155"/>
      <c r="L210" s="156"/>
      <c r="M210" s="155"/>
      <c r="N210" s="157"/>
    </row>
    <row r="211" spans="2:19" s="139" customFormat="1" x14ac:dyDescent="0.3">
      <c r="B211" s="159" t="s">
        <v>343</v>
      </c>
      <c r="C211" s="160">
        <f>C207+C209</f>
        <v>350.42079616381488</v>
      </c>
      <c r="D211" s="160">
        <f t="shared" ref="D211:I211" si="128">D207+D209</f>
        <v>181.02201591780249</v>
      </c>
      <c r="E211" s="160">
        <f t="shared" si="128"/>
        <v>437.15737665559755</v>
      </c>
      <c r="F211" s="160">
        <f t="shared" si="128"/>
        <v>601.08758982326617</v>
      </c>
      <c r="G211" s="160">
        <f t="shared" si="128"/>
        <v>783.12674161621908</v>
      </c>
      <c r="H211" s="160">
        <f t="shared" si="128"/>
        <v>1177.1796216431976</v>
      </c>
      <c r="I211" s="160">
        <f t="shared" si="128"/>
        <v>1083.5773142977887</v>
      </c>
      <c r="J211" s="160">
        <f t="shared" ref="J211:K211" si="129">J207+J209</f>
        <v>-2733.7132296319105</v>
      </c>
      <c r="K211" s="160">
        <f t="shared" si="129"/>
        <v>0</v>
      </c>
      <c r="L211" s="161"/>
      <c r="M211" s="160">
        <f>M207+M209</f>
        <v>93.941818990296269</v>
      </c>
      <c r="N211" s="162">
        <f>N207+N209</f>
        <v>895.954948776126</v>
      </c>
    </row>
    <row r="212" spans="2:19" s="141" customFormat="1" x14ac:dyDescent="0.3">
      <c r="B212" s="163" t="s">
        <v>324</v>
      </c>
      <c r="C212" s="164">
        <f>C211/C207</f>
        <v>3.3469312071203454E-2</v>
      </c>
      <c r="D212" s="164">
        <f t="shared" ref="D212:I212" si="130">D211/D207</f>
        <v>1.54150878401654E-2</v>
      </c>
      <c r="E212" s="164">
        <f t="shared" si="130"/>
        <v>3.6056105610561176E-2</v>
      </c>
      <c r="F212" s="164">
        <f t="shared" si="130"/>
        <v>4.9991923760297166E-2</v>
      </c>
      <c r="G212" s="164">
        <f t="shared" si="130"/>
        <v>6.1407474382157864E-2</v>
      </c>
      <c r="H212" s="164">
        <f t="shared" si="130"/>
        <v>0.10845111047014699</v>
      </c>
      <c r="I212" s="164">
        <f t="shared" si="130"/>
        <v>9.7840158070450461E-2</v>
      </c>
      <c r="J212" s="164">
        <f t="shared" ref="J212:K212" si="131">J211/J207</f>
        <v>-0.78959074733096068</v>
      </c>
      <c r="K212" s="164" t="e">
        <f t="shared" si="131"/>
        <v>#DIV/0!</v>
      </c>
      <c r="L212" s="164"/>
      <c r="M212" s="164">
        <f>M211/M207</f>
        <v>1.812084764165528E-2</v>
      </c>
      <c r="N212" s="165">
        <f>N211/N207</f>
        <v>0.14182749181499993</v>
      </c>
    </row>
    <row r="213" spans="2:19" s="139" customFormat="1" x14ac:dyDescent="0.3">
      <c r="B213" s="159" t="s">
        <v>344</v>
      </c>
      <c r="C213" s="160">
        <f>'Annual Income Statement US$'!B26</f>
        <v>1345.3828905347546</v>
      </c>
      <c r="D213" s="160">
        <f>'Annual Income Statement US$'!C26</f>
        <v>1256.0298534631856</v>
      </c>
      <c r="E213" s="160">
        <f>'Annual Income Statement US$'!D26</f>
        <v>1451.5225481173238</v>
      </c>
      <c r="F213" s="160">
        <f>'Annual Income Statement US$'!E26</f>
        <v>1471.1594484365887</v>
      </c>
      <c r="G213" s="160">
        <f>'Annual Income Statement US$'!F26</f>
        <v>1605.6500432401263</v>
      </c>
      <c r="H213" s="160">
        <f>'Annual Income Statement US$'!G26</f>
        <v>1966.1404318934274</v>
      </c>
      <c r="I213" s="160">
        <f>'Annual Income Statement US$'!H26</f>
        <v>2047.9309408107219</v>
      </c>
      <c r="J213" s="160">
        <f>'Annual Income Statement US$'!M26</f>
        <v>-1459.2638225781602</v>
      </c>
      <c r="K213" s="160">
        <f>'Annual Income Statement US$'!N26</f>
        <v>0</v>
      </c>
      <c r="L213" s="161"/>
      <c r="M213" s="160">
        <f>'Interim Inc Statement US$'!F26+'Interim Inc Statement US$'!J26</f>
        <v>572.30485905305022</v>
      </c>
      <c r="N213" s="162">
        <f>'Interim Inc Statement US$'!H26+'Interim Inc Statement US$'!K26</f>
        <v>1431.4121691935943</v>
      </c>
    </row>
    <row r="214" spans="2:19" s="142" customFormat="1" x14ac:dyDescent="0.3">
      <c r="B214" s="166" t="s">
        <v>345</v>
      </c>
      <c r="C214" s="164">
        <f>C213/C207</f>
        <v>0.12849990728722407</v>
      </c>
      <c r="D214" s="164">
        <f t="shared" ref="D214:I214" si="132">D213/D207</f>
        <v>0.10695831898036529</v>
      </c>
      <c r="E214" s="164">
        <f t="shared" si="132"/>
        <v>0.11971947194719483</v>
      </c>
      <c r="F214" s="164">
        <f t="shared" si="132"/>
        <v>0.12235503149733477</v>
      </c>
      <c r="G214" s="164">
        <f t="shared" si="132"/>
        <v>0.1259041591320072</v>
      </c>
      <c r="H214" s="164">
        <f t="shared" si="132"/>
        <v>0.18113642918950099</v>
      </c>
      <c r="I214" s="164">
        <f t="shared" si="132"/>
        <v>0.18491517340055877</v>
      </c>
      <c r="J214" s="164">
        <f t="shared" ref="J214:K214" si="133">J213/J207</f>
        <v>-0.42148576512455493</v>
      </c>
      <c r="K214" s="164" t="e">
        <f t="shared" si="133"/>
        <v>#DIV/0!</v>
      </c>
      <c r="L214" s="164"/>
      <c r="M214" s="164">
        <f>M213/M207</f>
        <v>0.11039438310802305</v>
      </c>
      <c r="N214" s="165">
        <f>N213/N207</f>
        <v>0.22658906900119505</v>
      </c>
    </row>
    <row r="215" spans="2:19" s="137" customFormat="1" x14ac:dyDescent="0.3">
      <c r="B215" s="154"/>
      <c r="C215" s="155"/>
      <c r="D215" s="155"/>
      <c r="E215" s="155"/>
      <c r="F215" s="155"/>
      <c r="G215" s="155"/>
      <c r="H215" s="155"/>
      <c r="I215" s="155"/>
      <c r="J215" s="155"/>
      <c r="K215" s="155"/>
      <c r="L215" s="156"/>
      <c r="M215" s="155"/>
      <c r="N215" s="157"/>
    </row>
    <row r="216" spans="2:19" s="137" customFormat="1" ht="15" thickBot="1" x14ac:dyDescent="0.35">
      <c r="B216" s="159" t="s">
        <v>347</v>
      </c>
      <c r="C216" s="143">
        <f>'Annual Income Statement US$'!B47</f>
        <v>103.86433570506286</v>
      </c>
      <c r="D216" s="143">
        <f>'Annual Income Statement US$'!C47</f>
        <v>-257.88052546949245</v>
      </c>
      <c r="E216" s="143">
        <f>'Annual Income Statement US$'!D47</f>
        <v>127.04573646512901</v>
      </c>
      <c r="F216" s="143">
        <f>'Annual Income Statement US$'!E47</f>
        <v>5.8263740532133532</v>
      </c>
      <c r="G216" s="143">
        <f>'Annual Income Statement US$'!F47</f>
        <v>96.089170750455764</v>
      </c>
      <c r="H216" s="143">
        <f>'Annual Income Statement US$'!G47</f>
        <v>237.1578626049793</v>
      </c>
      <c r="I216" s="143">
        <f>'Annual Income Statement US$'!H47</f>
        <v>661.01234493374875</v>
      </c>
      <c r="J216" s="143">
        <f>'Annual Income Statement US$'!M47</f>
        <v>-3291.2367164638836</v>
      </c>
      <c r="K216" s="143">
        <f>'Annual Income Statement US$'!N47</f>
        <v>0</v>
      </c>
      <c r="L216" s="145"/>
      <c r="M216" s="143">
        <f>('Interim Inc Statement US$'!F47+'Interim Inc Statement US$'!J47)</f>
        <v>45.550590837948249</v>
      </c>
      <c r="N216" s="167">
        <f>'Interim Inc Statement US$'!H47+'Interim Inc Statement US$'!K47</f>
        <v>811.86847979729043</v>
      </c>
    </row>
    <row r="217" spans="2:19" s="137" customFormat="1" ht="15" thickTop="1" x14ac:dyDescent="0.3">
      <c r="B217" s="163" t="s">
        <v>346</v>
      </c>
      <c r="C217" s="164">
        <f>C216/C207</f>
        <v>9.9202670127942431E-3</v>
      </c>
      <c r="D217" s="164">
        <f t="shared" ref="D217:I217" si="134">D216/D207</f>
        <v>-2.1960041336548244E-2</v>
      </c>
      <c r="E217" s="164">
        <f t="shared" si="134"/>
        <v>1.0478547854785606E-2</v>
      </c>
      <c r="F217" s="164">
        <f t="shared" si="134"/>
        <v>4.8457438216759096E-4</v>
      </c>
      <c r="G217" s="164">
        <f t="shared" si="134"/>
        <v>7.5346594333935589E-3</v>
      </c>
      <c r="H217" s="164">
        <f t="shared" si="134"/>
        <v>2.1848860686472432E-2</v>
      </c>
      <c r="I217" s="164">
        <f t="shared" si="134"/>
        <v>5.9685221775567295E-2</v>
      </c>
      <c r="J217" s="164">
        <f t="shared" ref="J217:K217" si="135">J216/J207</f>
        <v>-0.95062277580071164</v>
      </c>
      <c r="K217" s="164" t="e">
        <f t="shared" si="135"/>
        <v>#DIV/0!</v>
      </c>
      <c r="L217" s="164"/>
      <c r="M217" s="164">
        <f>M216/M207</f>
        <v>8.7864523535263923E-3</v>
      </c>
      <c r="N217" s="165">
        <f>N216/N207</f>
        <v>0.12851680804999741</v>
      </c>
    </row>
    <row r="218" spans="2:19" x14ac:dyDescent="0.3">
      <c r="B218" s="86"/>
      <c r="C218" s="87"/>
      <c r="D218" s="87"/>
      <c r="E218" s="87"/>
      <c r="F218" s="87"/>
      <c r="G218" s="87"/>
      <c r="H218" s="87"/>
      <c r="I218" s="87"/>
      <c r="J218" s="87"/>
      <c r="K218" s="87"/>
      <c r="L218" s="87"/>
      <c r="M218" s="87"/>
      <c r="N218" s="88"/>
    </row>
    <row r="220" spans="2:19" x14ac:dyDescent="0.3">
      <c r="B220" s="146" t="s">
        <v>363</v>
      </c>
      <c r="C220" s="147"/>
      <c r="D220" s="149"/>
    </row>
    <row r="221" spans="2:19" x14ac:dyDescent="0.3">
      <c r="B221" s="150" t="s">
        <v>333</v>
      </c>
      <c r="C221" s="152" t="s">
        <v>337</v>
      </c>
      <c r="D221" s="153" t="s">
        <v>338</v>
      </c>
    </row>
    <row r="222" spans="2:19" x14ac:dyDescent="0.3">
      <c r="B222" s="169" t="s">
        <v>359</v>
      </c>
      <c r="C222" s="155"/>
      <c r="D222" s="157"/>
      <c r="R222" s="155">
        <f>110490</f>
        <v>110490</v>
      </c>
      <c r="S222" s="155">
        <f>131798</f>
        <v>131798</v>
      </c>
    </row>
    <row r="223" spans="2:19" x14ac:dyDescent="0.3">
      <c r="B223" s="174" t="s">
        <v>358</v>
      </c>
      <c r="C223" s="156"/>
      <c r="D223" s="175"/>
      <c r="R223" s="155">
        <v>64229</v>
      </c>
      <c r="S223" s="155">
        <v>82882</v>
      </c>
    </row>
    <row r="224" spans="2:19" x14ac:dyDescent="0.3">
      <c r="B224" s="169" t="s">
        <v>357</v>
      </c>
      <c r="C224" s="155"/>
      <c r="D224" s="157"/>
      <c r="R224" s="155">
        <v>40763</v>
      </c>
      <c r="S224" s="155">
        <v>47858</v>
      </c>
    </row>
    <row r="225" spans="2:19" x14ac:dyDescent="0.3">
      <c r="B225" s="174" t="s">
        <v>360</v>
      </c>
      <c r="C225" s="156"/>
      <c r="D225" s="175"/>
      <c r="R225" s="155">
        <v>14833</v>
      </c>
      <c r="S225" s="155">
        <v>16309</v>
      </c>
    </row>
    <row r="226" spans="2:19" x14ac:dyDescent="0.3">
      <c r="B226" s="169" t="s">
        <v>361</v>
      </c>
      <c r="C226" s="155"/>
      <c r="D226" s="157"/>
      <c r="R226" s="155">
        <v>14477</v>
      </c>
      <c r="S226" s="155">
        <v>20319</v>
      </c>
    </row>
    <row r="227" spans="2:19" x14ac:dyDescent="0.3">
      <c r="B227" s="174" t="s">
        <v>362</v>
      </c>
      <c r="C227" s="156"/>
      <c r="D227" s="175"/>
      <c r="R227" s="155">
        <v>13426</v>
      </c>
      <c r="S227" s="155">
        <v>14068</v>
      </c>
    </row>
    <row r="228" spans="2:19" ht="15" thickBot="1" x14ac:dyDescent="0.35">
      <c r="B228" s="159" t="s">
        <v>304</v>
      </c>
      <c r="C228" s="173"/>
      <c r="D228" s="176"/>
    </row>
    <row r="229" spans="2:19" ht="15" thickTop="1" x14ac:dyDescent="0.3">
      <c r="B229" s="86"/>
      <c r="C229" s="87"/>
      <c r="D229" s="88"/>
    </row>
    <row r="230" spans="2:19" x14ac:dyDescent="0.3">
      <c r="B230" s="52" t="s">
        <v>364</v>
      </c>
      <c r="C230" s="172"/>
      <c r="D230" s="172"/>
    </row>
    <row r="233" spans="2:19" x14ac:dyDescent="0.3">
      <c r="B233" s="146" t="s">
        <v>388</v>
      </c>
      <c r="C233" s="147"/>
      <c r="D233" s="147"/>
      <c r="E233" s="147"/>
      <c r="F233" s="147"/>
      <c r="G233" s="147"/>
      <c r="H233" s="147"/>
      <c r="I233" s="109" t="s">
        <v>334</v>
      </c>
      <c r="J233" s="109" t="s">
        <v>334</v>
      </c>
      <c r="K233" s="109" t="s">
        <v>334</v>
      </c>
    </row>
    <row r="234" spans="2:19" x14ac:dyDescent="0.3">
      <c r="B234" s="150" t="s">
        <v>349</v>
      </c>
      <c r="C234" s="151">
        <v>2010</v>
      </c>
      <c r="D234" s="151">
        <v>2011</v>
      </c>
      <c r="E234" s="151">
        <v>2012</v>
      </c>
      <c r="F234" s="151">
        <v>2013</v>
      </c>
      <c r="G234" s="151">
        <v>2014</v>
      </c>
      <c r="H234" s="151">
        <v>2015</v>
      </c>
      <c r="I234" s="168">
        <v>2016</v>
      </c>
      <c r="J234" s="168">
        <v>2017</v>
      </c>
      <c r="K234" s="168">
        <v>2018</v>
      </c>
    </row>
    <row r="235" spans="2:19" x14ac:dyDescent="0.3">
      <c r="B235" s="179" t="s">
        <v>16</v>
      </c>
      <c r="C235" s="177">
        <f>-'Annual Income Statement US$'!B16</f>
        <v>2574.2824139236454</v>
      </c>
      <c r="D235" s="177">
        <f>-'Annual Income Statement US$'!C16</f>
        <v>3413.1246018021297</v>
      </c>
      <c r="E235" s="177">
        <f>-'Annual Income Statement US$'!D16</f>
        <v>3562.2824216718018</v>
      </c>
      <c r="F235" s="177">
        <f>-'Annual Income Statement US$'!E16</f>
        <v>3431.7343173431732</v>
      </c>
      <c r="G235" s="177">
        <f>-'Annual Income Statement US$'!F16</f>
        <v>3600.4612280196025</v>
      </c>
      <c r="H235" s="177">
        <f>-'Annual Income Statement US$'!G16</f>
        <v>1928.5708695005596</v>
      </c>
      <c r="I235" s="177">
        <f>-'Annual Income Statement US$'!H16</f>
        <v>1719.6885092511545</v>
      </c>
      <c r="J235" s="177">
        <f>-'Annual Income Statement US$'!M16</f>
        <v>845.5259510241799</v>
      </c>
      <c r="K235" s="177">
        <f>-'Annual Income Statement US$'!N16</f>
        <v>0</v>
      </c>
      <c r="M235" s="133">
        <f t="shared" ref="M235:N242" si="136">H235/$I$243</f>
        <v>0.19302312960478227</v>
      </c>
      <c r="N235" s="133">
        <f t="shared" si="136"/>
        <v>0.17211690959897291</v>
      </c>
    </row>
    <row r="236" spans="2:19" ht="28.8" x14ac:dyDescent="0.3">
      <c r="B236" s="180" t="s">
        <v>18</v>
      </c>
      <c r="C236" s="178">
        <f>-'Annual Income Statement US$'!B18</f>
        <v>1511.3716887176154</v>
      </c>
      <c r="D236" s="178">
        <f>-'Annual Income Statement US$'!C18</f>
        <v>1494.695751544755</v>
      </c>
      <c r="E236" s="178">
        <f>-'Annual Income Statement US$'!D18</f>
        <v>1471.5297507102557</v>
      </c>
      <c r="F236" s="178">
        <f>-'Annual Income Statement US$'!E18</f>
        <v>1552.7286851815886</v>
      </c>
      <c r="G236" s="178">
        <f>-'Annual Income Statement US$'!F18</f>
        <v>1649.8510617853369</v>
      </c>
      <c r="H236" s="178">
        <f>-'Annual Income Statement US$'!G18</f>
        <v>1198.312500489187</v>
      </c>
      <c r="I236" s="178">
        <f>-'Annual Income Statement US$'!H18</f>
        <v>1280.5227732335275</v>
      </c>
      <c r="J236" s="178">
        <f>-'Annual Income Statement US$'!M18</f>
        <v>391.19051286000308</v>
      </c>
      <c r="K236" s="178">
        <f>-'Annual Income Statement US$'!N18</f>
        <v>0</v>
      </c>
      <c r="M236" s="133">
        <f t="shared" si="136"/>
        <v>0.11993442022115325</v>
      </c>
      <c r="N236" s="133">
        <f t="shared" si="136"/>
        <v>0.12816252548901141</v>
      </c>
    </row>
    <row r="237" spans="2:19" x14ac:dyDescent="0.3">
      <c r="B237" s="179" t="s">
        <v>15</v>
      </c>
      <c r="C237" s="177">
        <f>-'Annual Income Statement US$'!B15</f>
        <v>1829.7595589163166</v>
      </c>
      <c r="D237" s="177">
        <f>-'Annual Income Statement US$'!C15</f>
        <v>2013.4906910186787</v>
      </c>
      <c r="E237" s="177">
        <f>-'Annual Income Statement US$'!D15</f>
        <v>1985.7148573486456</v>
      </c>
      <c r="F237" s="177">
        <f>-'Annual Income Statement US$'!E15</f>
        <v>2102.3499708681297</v>
      </c>
      <c r="G237" s="177">
        <f>-'Annual Income Statement US$'!F15</f>
        <v>2192.7548765254155</v>
      </c>
      <c r="H237" s="177">
        <f>-'Annual Income Statement US$'!G15</f>
        <v>1818.9929791880277</v>
      </c>
      <c r="I237" s="177">
        <f>-'Annual Income Statement US$'!H15</f>
        <v>1893.9965591138209</v>
      </c>
      <c r="J237" s="177">
        <f>-'Annual Income Statement US$'!M15</f>
        <v>1379.1775758509164</v>
      </c>
      <c r="K237" s="177">
        <f>-'Annual Income Statement US$'!N15</f>
        <v>0</v>
      </c>
      <c r="M237" s="133">
        <f t="shared" si="136"/>
        <v>0.18205590633178326</v>
      </c>
      <c r="N237" s="133">
        <f t="shared" si="136"/>
        <v>0.18956272184880299</v>
      </c>
    </row>
    <row r="238" spans="2:19" x14ac:dyDescent="0.3">
      <c r="B238" s="180" t="s">
        <v>26</v>
      </c>
      <c r="C238" s="178">
        <f>-'Annual Income Statement US$'!B27</f>
        <v>335.86037527058119</v>
      </c>
      <c r="D238" s="178">
        <f>-'Annual Income Statement US$'!C27</f>
        <v>338.78421973443363</v>
      </c>
      <c r="E238" s="178">
        <f>-'Annual Income Statement US$'!D27</f>
        <v>336.12100356128207</v>
      </c>
      <c r="F238" s="178">
        <f>-'Annual Income Statement US$'!E27</f>
        <v>308.79782482035347</v>
      </c>
      <c r="G238" s="178">
        <f>-'Annual Income Statement US$'!F27</f>
        <v>300.75910444892861</v>
      </c>
      <c r="H238" s="178">
        <f>-'Annual Income Statement US$'!G27</f>
        <v>276.29282343088374</v>
      </c>
      <c r="I238" s="178">
        <f>-'Annual Income Statement US$'!H27</f>
        <v>348.61609972533279</v>
      </c>
      <c r="J238" s="178">
        <f>-'Annual Income Statement US$'!M27</f>
        <v>0</v>
      </c>
      <c r="K238" s="178">
        <f>-'Annual Income Statement US$'!N27</f>
        <v>0</v>
      </c>
      <c r="M238" s="133">
        <f t="shared" si="136"/>
        <v>2.765307010977603E-2</v>
      </c>
      <c r="N238" s="133">
        <f t="shared" si="136"/>
        <v>3.489162449966015E-2</v>
      </c>
    </row>
    <row r="239" spans="2:19" ht="28.8" x14ac:dyDescent="0.3">
      <c r="B239" s="179" t="s">
        <v>20</v>
      </c>
      <c r="C239" s="177">
        <f>-'Annual Income Statement US$'!B20</f>
        <v>2300.5465011308597</v>
      </c>
      <c r="D239" s="177">
        <f>-'Annual Income Statement US$'!C20</f>
        <v>2258.2243661701204</v>
      </c>
      <c r="E239" s="177">
        <f>-'Annual Income Statement US$'!D20</f>
        <v>2377.8560281701411</v>
      </c>
      <c r="F239" s="177">
        <f>-'Annual Income Statement US$'!E20</f>
        <v>2256.7488832783065</v>
      </c>
      <c r="G239" s="177">
        <f>-'Annual Income Statement US$'!F20</f>
        <v>2358.9891419237056</v>
      </c>
      <c r="H239" s="177">
        <f>-'Annual Income Statement US$'!G20</f>
        <v>2861.548335590116</v>
      </c>
      <c r="I239" s="177">
        <f>-'Annual Income Statement US$'!H20</f>
        <v>2938.3356976849473</v>
      </c>
      <c r="J239" s="177">
        <f>-'Annual Income Statement US$'!M20</f>
        <v>1702.6028030186353</v>
      </c>
      <c r="K239" s="177">
        <f>-'Annual Income Statement US$'!N20</f>
        <v>0</v>
      </c>
      <c r="M239" s="133">
        <f t="shared" si="136"/>
        <v>0.28640120204345937</v>
      </c>
      <c r="N239" s="133">
        <f t="shared" si="136"/>
        <v>0.29408654935427836</v>
      </c>
    </row>
    <row r="240" spans="2:19" ht="28.8" x14ac:dyDescent="0.3">
      <c r="B240" s="180" t="s">
        <v>17</v>
      </c>
      <c r="C240" s="178">
        <f>-'Annual Income Statement US$'!B17</f>
        <v>657.16032964792907</v>
      </c>
      <c r="D240" s="178">
        <f>-'Annual Income Statement US$'!C17</f>
        <v>688.69269743029645</v>
      </c>
      <c r="E240" s="178">
        <f>-'Annual Income Statement US$'!D17</f>
        <v>672.24200712256413</v>
      </c>
      <c r="F240" s="178">
        <f>-'Annual Income Statement US$'!E17</f>
        <v>613.71140027189745</v>
      </c>
      <c r="G240" s="178">
        <f>-'Annual Income Statement US$'!F17</f>
        <v>699.52916306332281</v>
      </c>
      <c r="H240" s="178">
        <f>-'Annual Income Statement US$'!G17</f>
        <v>605.02649436847912</v>
      </c>
      <c r="I240" s="178">
        <f>-'Annual Income Statement US$'!H17</f>
        <v>664.03066614349098</v>
      </c>
      <c r="J240" s="178">
        <f>-'Annual Income Statement US$'!M17</f>
        <v>473.58693978130293</v>
      </c>
      <c r="K240" s="178">
        <f>-'Annual Income Statement US$'!N17</f>
        <v>0</v>
      </c>
      <c r="M240" s="133">
        <f t="shared" si="136"/>
        <v>6.0554739928772999E-2</v>
      </c>
      <c r="N240" s="133">
        <f t="shared" si="136"/>
        <v>6.6460237142209805E-2</v>
      </c>
    </row>
    <row r="241" spans="2:14" x14ac:dyDescent="0.3">
      <c r="B241" s="179" t="s">
        <v>28</v>
      </c>
      <c r="C241" s="177">
        <f>-'Annual Income Statement US$'!B29</f>
        <v>659.10171910036013</v>
      </c>
      <c r="D241" s="177">
        <f>-'Annual Income Statement US$'!C29</f>
        <v>736.22361781094833</v>
      </c>
      <c r="E241" s="177">
        <f>-'Annual Income Statement US$'!D29</f>
        <v>678.24416790044415</v>
      </c>
      <c r="F241" s="177">
        <f>-'Annual Income Statement US$'!E29</f>
        <v>561.27403379296948</v>
      </c>
      <c r="G241" s="177">
        <f>-'Annual Income Statement US$'!F29</f>
        <v>521.76419717497845</v>
      </c>
      <c r="H241" s="177">
        <f>-'Annual Income Statement US$'!G29</f>
        <v>512.66798681934517</v>
      </c>
      <c r="I241" s="177">
        <f>-'Annual Income Statement US$'!H29</f>
        <v>615.7375267876007</v>
      </c>
      <c r="J241" s="177">
        <f>-'Annual Income Statement US$'!M29</f>
        <v>1274.4494070537503</v>
      </c>
      <c r="K241" s="177">
        <f>-'Annual Income Statement US$'!N29</f>
        <v>0</v>
      </c>
      <c r="M241" s="133">
        <f t="shared" si="136"/>
        <v>5.1310937455816712E-2</v>
      </c>
      <c r="N241" s="133">
        <f t="shared" si="136"/>
        <v>6.1626765350049094E-2</v>
      </c>
    </row>
    <row r="242" spans="2:14" x14ac:dyDescent="0.3">
      <c r="B242" s="180" t="s">
        <v>19</v>
      </c>
      <c r="C242" s="178">
        <f>-'Annual Income Statement US$'!B19</f>
        <v>251.40993408982811</v>
      </c>
      <c r="D242" s="178">
        <f>-'Annual Income Statement US$'!C19</f>
        <v>618.91326112678621</v>
      </c>
      <c r="E242" s="178">
        <f>-'Annual Income Statement US$'!D19</f>
        <v>603.21715817694371</v>
      </c>
      <c r="F242" s="178">
        <f>-'Annual Income Statement US$'!E19</f>
        <v>595.26121577005244</v>
      </c>
      <c r="G242" s="178">
        <f>-'Annual Income Statement US$'!F19</f>
        <v>645.71922744306721</v>
      </c>
      <c r="H242" s="178">
        <f>-'Annual Income Statement US$'!G19</f>
        <v>475.88112364299519</v>
      </c>
      <c r="I242" s="178">
        <f>-'Annual Income Statement US$'!H19</f>
        <v>530.46995261235702</v>
      </c>
      <c r="J242" s="178">
        <f>-'Annual Income Statement US$'!M19</f>
        <v>129.37009086708764</v>
      </c>
      <c r="K242" s="178">
        <f>-'Annual Income Statement US$'!N19</f>
        <v>0</v>
      </c>
      <c r="M242" s="133">
        <f t="shared" si="136"/>
        <v>4.7629083928452762E-2</v>
      </c>
      <c r="N242" s="133">
        <f t="shared" si="136"/>
        <v>5.309266671701534E-2</v>
      </c>
    </row>
    <row r="243" spans="2:14" ht="15" thickBot="1" x14ac:dyDescent="0.35">
      <c r="B243" s="159" t="s">
        <v>304</v>
      </c>
      <c r="C243" s="173">
        <f>SUM(C235:C242)</f>
        <v>10119.492520797136</v>
      </c>
      <c r="D243" s="173">
        <f t="shared" ref="D243:I243" si="137">SUM(D235:D242)</f>
        <v>11562.149206638151</v>
      </c>
      <c r="E243" s="173">
        <f t="shared" si="137"/>
        <v>11687.207394662079</v>
      </c>
      <c r="F243" s="173">
        <f t="shared" si="137"/>
        <v>11422.606331326471</v>
      </c>
      <c r="G243" s="173">
        <f t="shared" si="137"/>
        <v>11969.828000384356</v>
      </c>
      <c r="H243" s="173">
        <f t="shared" si="137"/>
        <v>9677.2931130295947</v>
      </c>
      <c r="I243" s="173">
        <f t="shared" si="137"/>
        <v>9991.3977845522313</v>
      </c>
      <c r="J243" s="173">
        <f t="shared" ref="J243:K243" si="138">SUM(J235:J242)</f>
        <v>6195.9032804558765</v>
      </c>
      <c r="K243" s="173">
        <f t="shared" si="138"/>
        <v>0</v>
      </c>
    </row>
    <row r="244" spans="2:14" ht="15" thickTop="1" x14ac:dyDescent="0.3">
      <c r="B244" s="169" t="s">
        <v>365</v>
      </c>
      <c r="C244" s="181">
        <f>C40</f>
        <v>15.937212613073475</v>
      </c>
      <c r="D244" s="181">
        <f t="shared" ref="D244:I244" si="139">D40</f>
        <v>17.397154990427552</v>
      </c>
      <c r="E244" s="181">
        <f t="shared" si="139"/>
        <v>17.373838461493524</v>
      </c>
      <c r="F244" s="181">
        <f t="shared" si="139"/>
        <v>16.657585830175826</v>
      </c>
      <c r="G244" s="181">
        <f t="shared" si="139"/>
        <v>16.199742858049721</v>
      </c>
      <c r="H244" s="181">
        <f t="shared" si="139"/>
        <v>11.966332941387636</v>
      </c>
      <c r="I244" s="181">
        <f t="shared" si="139"/>
        <v>10.775184721170149</v>
      </c>
      <c r="J244" s="181">
        <f t="shared" ref="J244:K244" si="140">J40</f>
        <v>11.059507145245606</v>
      </c>
      <c r="K244" s="181">
        <f t="shared" si="140"/>
        <v>11.488821766306353</v>
      </c>
      <c r="M244" s="132">
        <f>M235+M238+M240+M241</f>
        <v>0.33254187709914801</v>
      </c>
      <c r="N244" s="132">
        <f>N235+N238+N240+N241</f>
        <v>0.33509553659089197</v>
      </c>
    </row>
    <row r="245" spans="2:14" x14ac:dyDescent="0.3">
      <c r="B245" s="169" t="s">
        <v>366</v>
      </c>
      <c r="C245" s="181">
        <f>C42</f>
        <v>11.882969174236941</v>
      </c>
      <c r="D245" s="181">
        <f t="shared" ref="D245:I245" si="141">D42</f>
        <v>12.124586217273547</v>
      </c>
      <c r="E245" s="181">
        <f t="shared" si="141"/>
        <v>12.073912203243694</v>
      </c>
      <c r="F245" s="181">
        <f t="shared" si="141"/>
        <v>12.00034999197935</v>
      </c>
      <c r="G245" s="181">
        <f t="shared" si="141"/>
        <v>11.787952198568123</v>
      </c>
      <c r="H245" s="181">
        <f t="shared" si="141"/>
        <v>12.241718292094818</v>
      </c>
      <c r="I245" s="181">
        <f t="shared" si="141"/>
        <v>11.821926967625046</v>
      </c>
      <c r="J245" s="181">
        <f t="shared" ref="J245:K245" si="142">J42</f>
        <v>11.52842731805357</v>
      </c>
      <c r="K245" s="181">
        <f t="shared" si="142"/>
        <v>11.309147980444861</v>
      </c>
    </row>
    <row r="246" spans="2:14" x14ac:dyDescent="0.3">
      <c r="B246" s="86"/>
      <c r="C246" s="87"/>
      <c r="D246" s="87"/>
      <c r="E246" s="87"/>
      <c r="F246" s="87"/>
      <c r="G246" s="87"/>
      <c r="H246" s="87"/>
      <c r="I246" s="87"/>
      <c r="J246" s="87"/>
      <c r="K246" s="87"/>
    </row>
    <row r="250" spans="2:14" x14ac:dyDescent="0.3">
      <c r="B250" s="52" t="s">
        <v>395</v>
      </c>
    </row>
    <row r="251" spans="2:14" x14ac:dyDescent="0.3">
      <c r="B251" s="52" t="s">
        <v>396</v>
      </c>
      <c r="C251" s="52">
        <f>'Annual Operational Data'!B18</f>
        <v>328</v>
      </c>
      <c r="D251" s="52">
        <f>'Annual Operational Data'!C18</f>
        <v>352</v>
      </c>
      <c r="E251" s="52">
        <f>'Annual Operational Data'!D18</f>
        <v>351</v>
      </c>
      <c r="F251" s="52">
        <f>'Annual Operational Data'!E18</f>
        <v>352</v>
      </c>
      <c r="G251" s="52">
        <f>'Annual Operational Data'!F18</f>
        <v>364</v>
      </c>
      <c r="H251" s="52">
        <f>'Annual Operational Data'!G18</f>
        <v>370</v>
      </c>
      <c r="I251" s="52" t="e">
        <f>'Annual Operational Data'!#REF!</f>
        <v>#REF!</v>
      </c>
      <c r="J251" s="52" t="e">
        <f>'Annual Operational Data'!#REF!</f>
        <v>#REF!</v>
      </c>
      <c r="K251" s="52" t="e">
        <f>'Annual Operational Data'!#REF!</f>
        <v>#REF!</v>
      </c>
    </row>
    <row r="252" spans="2:14" x14ac:dyDescent="0.3">
      <c r="G252" s="202">
        <f>191/252</f>
        <v>0.75793650793650791</v>
      </c>
      <c r="H252" s="202">
        <v>0.78</v>
      </c>
      <c r="I252" s="202">
        <v>0.81</v>
      </c>
      <c r="J252" s="202">
        <v>1.81</v>
      </c>
      <c r="K252" s="202">
        <v>2.81</v>
      </c>
    </row>
    <row r="253" spans="2:14" x14ac:dyDescent="0.3">
      <c r="B253" s="52" t="s">
        <v>397</v>
      </c>
      <c r="G253" s="52">
        <f>ROUND(+G251*0.81,0)</f>
        <v>295</v>
      </c>
      <c r="H253" s="52">
        <f>ROUND(+H251*0.81,0)</f>
        <v>300</v>
      </c>
      <c r="I253" s="52" t="e">
        <f>ROUND(+I251*0.81,0)</f>
        <v>#REF!</v>
      </c>
      <c r="J253" s="52" t="e">
        <f>ROUND(+J251*0.81,0)</f>
        <v>#REF!</v>
      </c>
      <c r="K253" s="52" t="e">
        <f>ROUND(+K251*0.81,0)</f>
        <v>#REF!</v>
      </c>
    </row>
    <row r="254" spans="2:14" x14ac:dyDescent="0.3">
      <c r="B254" s="52" t="s">
        <v>398</v>
      </c>
      <c r="G254" s="172">
        <f>G238</f>
        <v>300.75910444892861</v>
      </c>
      <c r="H254" s="172">
        <f>H238</f>
        <v>276.29282343088374</v>
      </c>
      <c r="I254" s="172">
        <f>I238</f>
        <v>348.61609972533279</v>
      </c>
      <c r="J254" s="172">
        <f>J238</f>
        <v>0</v>
      </c>
      <c r="K254" s="172">
        <f>K238</f>
        <v>0</v>
      </c>
    </row>
    <row r="255" spans="2:14" x14ac:dyDescent="0.3">
      <c r="B255" s="52" t="s">
        <v>399</v>
      </c>
      <c r="G255" s="203">
        <f>G254/G253</f>
        <v>1.01952238796247</v>
      </c>
      <c r="H255" s="203">
        <f>H254/H253</f>
        <v>0.92097607810294579</v>
      </c>
      <c r="I255" s="203" t="e">
        <f>I254/I253</f>
        <v>#REF!</v>
      </c>
      <c r="J255" s="203" t="e">
        <f>J254/J253</f>
        <v>#REF!</v>
      </c>
      <c r="K255" s="203" t="e">
        <f>K254/K253</f>
        <v>#REF!</v>
      </c>
    </row>
    <row r="256" spans="2:14" x14ac:dyDescent="0.3">
      <c r="B256" s="52" t="s">
        <v>400</v>
      </c>
      <c r="G256" s="203">
        <f>G255/12</f>
        <v>8.4960198996872502E-2</v>
      </c>
      <c r="H256" s="203">
        <f>H255/12</f>
        <v>7.6748006508578812E-2</v>
      </c>
      <c r="I256" s="203" t="e">
        <f>I255/12</f>
        <v>#REF!</v>
      </c>
      <c r="J256" s="203" t="e">
        <f>J255/12</f>
        <v>#REF!</v>
      </c>
      <c r="K256" s="203" t="e">
        <f>K255/12</f>
        <v>#REF!</v>
      </c>
    </row>
    <row r="259" spans="2:12" x14ac:dyDescent="0.3">
      <c r="B259" s="146" t="s">
        <v>350</v>
      </c>
      <c r="C259" s="147"/>
      <c r="D259" s="147"/>
      <c r="E259" s="147"/>
      <c r="F259" s="147"/>
      <c r="G259" s="147"/>
      <c r="H259" s="147"/>
      <c r="I259" s="109" t="s">
        <v>334</v>
      </c>
      <c r="J259" s="109" t="s">
        <v>334</v>
      </c>
      <c r="K259" s="109" t="s">
        <v>334</v>
      </c>
    </row>
    <row r="260" spans="2:12" x14ac:dyDescent="0.3">
      <c r="B260" s="150" t="s">
        <v>349</v>
      </c>
      <c r="C260" s="151">
        <v>2010</v>
      </c>
      <c r="D260" s="151">
        <v>2011</v>
      </c>
      <c r="E260" s="151">
        <v>2012</v>
      </c>
      <c r="F260" s="151">
        <v>2013</v>
      </c>
      <c r="G260" s="151">
        <v>2014</v>
      </c>
      <c r="H260" s="151">
        <v>2015</v>
      </c>
      <c r="I260" s="168">
        <v>2016</v>
      </c>
      <c r="J260" s="168">
        <v>2017</v>
      </c>
      <c r="K260" s="168">
        <v>2018</v>
      </c>
    </row>
    <row r="261" spans="2:12" x14ac:dyDescent="0.3">
      <c r="B261" s="169" t="s">
        <v>351</v>
      </c>
      <c r="C261" s="155">
        <f>'Balance Sheet US$'!B70</f>
        <v>4479.2849999999989</v>
      </c>
      <c r="D261" s="155">
        <f>'Balance Sheet US$'!C70</f>
        <v>4238.2039999999997</v>
      </c>
      <c r="E261" s="155">
        <f>'Balance Sheet US$'!D70</f>
        <v>3966.8649999999993</v>
      </c>
      <c r="F261" s="155">
        <f>'Balance Sheet US$'!E70</f>
        <v>4075.3164900000002</v>
      </c>
      <c r="G261" s="155">
        <f>'Balance Sheet US$'!F70</f>
        <v>4499.8432000000003</v>
      </c>
      <c r="H261" s="155">
        <f>'Balance Sheet US$'!G70</f>
        <v>4617.4270999999999</v>
      </c>
      <c r="I261" s="155">
        <f>'Balance Sheet US$'!H70</f>
        <v>4929.6089385474861</v>
      </c>
      <c r="J261" s="155">
        <f>'Balance Sheet US$'!M70</f>
        <v>13457.566957082929</v>
      </c>
      <c r="K261" s="155">
        <f>'Balance Sheet US$'!N70</f>
        <v>0</v>
      </c>
    </row>
    <row r="262" spans="2:12" x14ac:dyDescent="0.3">
      <c r="B262" s="169" t="s">
        <v>352</v>
      </c>
      <c r="C262" s="140">
        <f>'Balance Sheet US$'!B73</f>
        <v>2351.0226268940683</v>
      </c>
      <c r="D262" s="140">
        <f>'Balance Sheet US$'!C73</f>
        <v>2371.4895381410356</v>
      </c>
      <c r="E262" s="140">
        <f>'Balance Sheet US$'!D73</f>
        <v>2352.8470249289744</v>
      </c>
      <c r="F262" s="140">
        <f>'Balance Sheet US$'!E73</f>
        <v>2161.5847737424742</v>
      </c>
      <c r="G262" s="140">
        <f>'Balance Sheet US$'!F73</f>
        <v>2105.3137311425003</v>
      </c>
      <c r="H262" s="140">
        <f>'Balance Sheet US$'!G73</f>
        <v>1934.0497640161861</v>
      </c>
      <c r="I262" s="140">
        <f>'Balance Sheet US$'!H73</f>
        <v>2440.3126980773295</v>
      </c>
      <c r="J262" s="140">
        <f>'Balance Sheet US$'!M73</f>
        <v>0</v>
      </c>
      <c r="K262" s="140">
        <f>'Balance Sheet US$'!N73</f>
        <v>0</v>
      </c>
    </row>
    <row r="263" spans="2:12" s="138" customFormat="1" x14ac:dyDescent="0.3">
      <c r="B263" s="159" t="s">
        <v>353</v>
      </c>
      <c r="C263" s="160">
        <f>C261+C262</f>
        <v>6830.3076268940677</v>
      </c>
      <c r="D263" s="160">
        <f t="shared" ref="D263:I263" si="143">D261+D262</f>
        <v>6609.6935381410349</v>
      </c>
      <c r="E263" s="160">
        <f t="shared" si="143"/>
        <v>6319.7120249289737</v>
      </c>
      <c r="F263" s="160">
        <f t="shared" si="143"/>
        <v>6236.9012637424748</v>
      </c>
      <c r="G263" s="160">
        <f t="shared" si="143"/>
        <v>6605.156931142501</v>
      </c>
      <c r="H263" s="160">
        <f t="shared" si="143"/>
        <v>6551.4768640161856</v>
      </c>
      <c r="I263" s="160">
        <f t="shared" si="143"/>
        <v>7369.9216366248156</v>
      </c>
      <c r="J263" s="160">
        <f t="shared" ref="J263:K263" si="144">J261+J262</f>
        <v>13457.566957082929</v>
      </c>
      <c r="K263" s="160">
        <f t="shared" si="144"/>
        <v>0</v>
      </c>
    </row>
    <row r="264" spans="2:12" x14ac:dyDescent="0.3">
      <c r="B264" s="169" t="s">
        <v>354</v>
      </c>
      <c r="C264" s="155">
        <f>-'Balance Sheet US$'!B71</f>
        <v>-2202.9599999999996</v>
      </c>
      <c r="D264" s="155">
        <f>-'Balance Sheet US$'!C71</f>
        <v>-2054.5011999999997</v>
      </c>
      <c r="E264" s="155">
        <f>-'Balance Sheet US$'!D71</f>
        <v>-2032.0779999999997</v>
      </c>
      <c r="F264" s="155">
        <f>-'Balance Sheet US$'!E71</f>
        <v>-2076.6902399999999</v>
      </c>
      <c r="G264" s="155">
        <f>-'Balance Sheet US$'!F71</f>
        <v>-1962.6424999999999</v>
      </c>
      <c r="H264" s="155">
        <f>-'Balance Sheet US$'!G71</f>
        <v>-1929.5847999999999</v>
      </c>
      <c r="I264" s="155">
        <f>-'Balance Sheet US$'!H71</f>
        <v>-2218.9944134078214</v>
      </c>
      <c r="J264" s="155">
        <f>-'Balance Sheet US$'!M71</f>
        <v>-7020.0064536947402</v>
      </c>
      <c r="K264" s="155">
        <f>-'Balance Sheet US$'!N71</f>
        <v>0</v>
      </c>
    </row>
    <row r="265" spans="2:12" s="138" customFormat="1" x14ac:dyDescent="0.3">
      <c r="B265" s="159" t="s">
        <v>355</v>
      </c>
      <c r="C265" s="160">
        <f>C263+C264</f>
        <v>4627.3476268940685</v>
      </c>
      <c r="D265" s="160">
        <f t="shared" ref="D265:I265" si="145">D263+D264</f>
        <v>4555.1923381410352</v>
      </c>
      <c r="E265" s="160">
        <f t="shared" si="145"/>
        <v>4287.6340249289742</v>
      </c>
      <c r="F265" s="160">
        <f t="shared" si="145"/>
        <v>4160.2110237424749</v>
      </c>
      <c r="G265" s="160">
        <f t="shared" si="145"/>
        <v>4642.5144311425011</v>
      </c>
      <c r="H265" s="160">
        <f t="shared" si="145"/>
        <v>4621.8920640161859</v>
      </c>
      <c r="I265" s="160">
        <f t="shared" si="145"/>
        <v>5150.9272232169942</v>
      </c>
      <c r="J265" s="160">
        <f t="shared" ref="J265:K265" si="146">J263+J264</f>
        <v>6437.5605033881884</v>
      </c>
      <c r="K265" s="160">
        <f t="shared" si="146"/>
        <v>0</v>
      </c>
    </row>
    <row r="266" spans="2:12" x14ac:dyDescent="0.3">
      <c r="B266" s="170" t="s">
        <v>356</v>
      </c>
      <c r="C266" s="171">
        <f>C265/C213</f>
        <v>3.4394280315656598</v>
      </c>
      <c r="D266" s="171">
        <f t="shared" ref="D266:I266" si="147">D265/D213</f>
        <v>3.6266592912431506</v>
      </c>
      <c r="E266" s="171">
        <f t="shared" si="147"/>
        <v>2.9538873030186044</v>
      </c>
      <c r="F266" s="171">
        <f t="shared" si="147"/>
        <v>2.8278450905940615</v>
      </c>
      <c r="G266" s="171">
        <f t="shared" si="147"/>
        <v>2.8913613216576914</v>
      </c>
      <c r="H266" s="171">
        <f t="shared" si="147"/>
        <v>2.3507436137535831</v>
      </c>
      <c r="I266" s="171">
        <f t="shared" si="147"/>
        <v>2.5151859960560379</v>
      </c>
      <c r="J266" s="171">
        <f t="shared" ref="J266:K266" si="148">J265/J213</f>
        <v>-4.4115124378363619</v>
      </c>
      <c r="K266" s="171" t="e">
        <f t="shared" si="148"/>
        <v>#DIV/0!</v>
      </c>
      <c r="L266" s="155"/>
    </row>
    <row r="267" spans="2:12" x14ac:dyDescent="0.3">
      <c r="B267" s="86"/>
      <c r="C267" s="140"/>
      <c r="D267" s="140"/>
      <c r="E267" s="140"/>
      <c r="F267" s="140"/>
      <c r="G267" s="140"/>
      <c r="H267" s="140"/>
      <c r="I267" s="158"/>
      <c r="J267" s="158"/>
      <c r="K267" s="158"/>
    </row>
    <row r="268" spans="2:12" x14ac:dyDescent="0.3">
      <c r="C268" s="155"/>
      <c r="D268" s="155"/>
      <c r="E268" s="155"/>
      <c r="F268" s="155"/>
      <c r="G268" s="155"/>
      <c r="H268" s="155"/>
      <c r="I268" s="155"/>
      <c r="J268" s="155"/>
      <c r="K268" s="155"/>
    </row>
    <row r="269" spans="2:12" x14ac:dyDescent="0.3">
      <c r="B269" s="146" t="s">
        <v>367</v>
      </c>
      <c r="C269" s="147"/>
      <c r="D269" s="147"/>
      <c r="E269" s="147"/>
      <c r="F269" s="147"/>
      <c r="G269" s="147"/>
      <c r="H269" s="147"/>
      <c r="I269" s="109"/>
      <c r="J269" s="109"/>
      <c r="K269" s="109"/>
    </row>
    <row r="270" spans="2:12" x14ac:dyDescent="0.3">
      <c r="B270" s="150" t="s">
        <v>349</v>
      </c>
      <c r="C270" s="151">
        <v>2010</v>
      </c>
      <c r="D270" s="151">
        <v>2011</v>
      </c>
      <c r="E270" s="151">
        <v>2012</v>
      </c>
      <c r="F270" s="151">
        <v>2013</v>
      </c>
      <c r="G270" s="151">
        <v>2014</v>
      </c>
      <c r="H270" s="151">
        <v>2015</v>
      </c>
      <c r="I270" s="185">
        <v>42614</v>
      </c>
      <c r="J270" s="185">
        <v>42644</v>
      </c>
      <c r="K270" s="185">
        <v>42675</v>
      </c>
    </row>
    <row r="271" spans="2:12" x14ac:dyDescent="0.3">
      <c r="B271" s="179" t="s">
        <v>368</v>
      </c>
      <c r="C271" s="177">
        <f>'Balance Sheet US$'!B13-'Balance Sheet US$'!B10</f>
        <v>5775.7349999999988</v>
      </c>
      <c r="D271" s="177">
        <f>'Balance Sheet US$'!C13-'Balance Sheet US$'!C10</f>
        <v>4886.1695999999993</v>
      </c>
      <c r="E271" s="177">
        <f>'Balance Sheet US$'!D13-'Balance Sheet US$'!D10</f>
        <v>4560.6410000000005</v>
      </c>
      <c r="F271" s="177">
        <f>'Balance Sheet US$'!E13-'Balance Sheet US$'!E10</f>
        <v>4436.4800100000002</v>
      </c>
      <c r="G271" s="177">
        <f>'Balance Sheet US$'!F13-'Balance Sheet US$'!F10</f>
        <v>4754.3397000000004</v>
      </c>
      <c r="H271" s="177">
        <f>'Balance Sheet US$'!G13-'Balance Sheet US$'!G10</f>
        <v>4520.6589999999997</v>
      </c>
      <c r="I271" s="177">
        <f>'Balance Sheet US$'!H13-'Balance Sheet US$'!H10</f>
        <v>5678.2122905027936</v>
      </c>
      <c r="J271" s="177">
        <f>'Balance Sheet US$'!M13-'Balance Sheet US$'!M10</f>
        <v>9466.7634720877704</v>
      </c>
      <c r="K271" s="177">
        <f>'Balance Sheet US$'!N13-'Balance Sheet US$'!N10</f>
        <v>0</v>
      </c>
    </row>
    <row r="272" spans="2:12" x14ac:dyDescent="0.3">
      <c r="B272" s="192" t="s">
        <v>369</v>
      </c>
      <c r="C272" s="177">
        <f>'Balance Sheet US$'!B10</f>
        <v>0</v>
      </c>
      <c r="D272" s="177">
        <f>'Balance Sheet US$'!C10</f>
        <v>93.964799999999997</v>
      </c>
      <c r="E272" s="177">
        <f>'Balance Sheet US$'!D10</f>
        <v>324.97199999999998</v>
      </c>
      <c r="F272" s="177">
        <f>'Balance Sheet US$'!E10</f>
        <v>334.82868000000002</v>
      </c>
      <c r="G272" s="177">
        <f>'Balance Sheet US$'!F10</f>
        <v>420.13490000000002</v>
      </c>
      <c r="H272" s="177">
        <f>'Balance Sheet US$'!G10</f>
        <v>556.05549999999994</v>
      </c>
      <c r="I272" s="177">
        <f>'Balance Sheet US$'!H10</f>
        <v>668.15642458100558</v>
      </c>
      <c r="J272" s="177">
        <f>'Balance Sheet US$'!M10</f>
        <v>0</v>
      </c>
      <c r="K272" s="177">
        <f>'Balance Sheet US$'!N10</f>
        <v>0</v>
      </c>
    </row>
    <row r="273" spans="2:11" x14ac:dyDescent="0.3">
      <c r="B273" s="192" t="s">
        <v>370</v>
      </c>
      <c r="C273" s="186">
        <f>'Balance Sheet US$'!B23</f>
        <v>1358.7599999999998</v>
      </c>
      <c r="D273" s="186">
        <f>'Balance Sheet US$'!C23</f>
        <v>1192.1783999999998</v>
      </c>
      <c r="E273" s="186">
        <f>'Balance Sheet US$'!D23</f>
        <v>1138.4049999999997</v>
      </c>
      <c r="F273" s="186">
        <f>'Balance Sheet US$'!E23</f>
        <v>1043.0477699999999</v>
      </c>
      <c r="G273" s="186">
        <f>'Balance Sheet US$'!F23</f>
        <v>1011.0844</v>
      </c>
      <c r="H273" s="186">
        <f>'Balance Sheet US$'!G23</f>
        <v>1424.0797999999998</v>
      </c>
      <c r="I273" s="186">
        <f>'Balance Sheet US$'!H23</f>
        <v>1673.7430167597765</v>
      </c>
      <c r="J273" s="186">
        <f>'Balance Sheet US$'!M23</f>
        <v>7023.233301064859</v>
      </c>
      <c r="K273" s="186">
        <f>'Balance Sheet US$'!N23</f>
        <v>0</v>
      </c>
    </row>
    <row r="274" spans="2:11" x14ac:dyDescent="0.3">
      <c r="B274" s="194" t="s">
        <v>371</v>
      </c>
      <c r="C274" s="184">
        <f>SUM(C271:C273)</f>
        <v>7134.494999999999</v>
      </c>
      <c r="D274" s="184">
        <f t="shared" ref="D274:I274" si="149">SUM(D271:D273)</f>
        <v>6172.3127999999988</v>
      </c>
      <c r="E274" s="184">
        <f t="shared" si="149"/>
        <v>6024.018</v>
      </c>
      <c r="F274" s="184">
        <f t="shared" si="149"/>
        <v>5814.35646</v>
      </c>
      <c r="G274" s="184">
        <f t="shared" si="149"/>
        <v>6185.5590000000002</v>
      </c>
      <c r="H274" s="184">
        <f t="shared" si="149"/>
        <v>6500.7942999999996</v>
      </c>
      <c r="I274" s="184">
        <f t="shared" si="149"/>
        <v>8020.1117318435763</v>
      </c>
      <c r="J274" s="184">
        <f t="shared" ref="J274:K274" si="150">SUM(J271:J273)</f>
        <v>16489.99677315263</v>
      </c>
      <c r="K274" s="184">
        <f t="shared" si="150"/>
        <v>0</v>
      </c>
    </row>
    <row r="275" spans="2:11" x14ac:dyDescent="0.3">
      <c r="B275" s="192"/>
      <c r="C275" s="177"/>
      <c r="D275" s="177"/>
      <c r="E275" s="177"/>
      <c r="F275" s="177"/>
      <c r="G275" s="177"/>
      <c r="H275" s="177"/>
      <c r="I275" s="177"/>
      <c r="J275" s="177"/>
      <c r="K275" s="177"/>
    </row>
    <row r="276" spans="2:11" x14ac:dyDescent="0.3">
      <c r="B276" s="192" t="s">
        <v>372</v>
      </c>
      <c r="C276" s="177">
        <f>'Balance Sheet US$'!B25+'Balance Sheet US$'!B26</f>
        <v>2202.9599999999996</v>
      </c>
      <c r="D276" s="177">
        <f>'Balance Sheet US$'!C25+'Balance Sheet US$'!C26</f>
        <v>2054.5011999999997</v>
      </c>
      <c r="E276" s="177">
        <f>'Balance Sheet US$'!D25+'Balance Sheet US$'!D26</f>
        <v>2032.0779999999997</v>
      </c>
      <c r="F276" s="177">
        <f>'Balance Sheet US$'!E25+'Balance Sheet US$'!E26</f>
        <v>2076.6902399999999</v>
      </c>
      <c r="G276" s="177">
        <f>'Balance Sheet US$'!F25+'Balance Sheet US$'!F26</f>
        <v>1962.6424999999999</v>
      </c>
      <c r="H276" s="177">
        <f>'Balance Sheet US$'!G25+'Balance Sheet US$'!G26</f>
        <v>1929.5847999999999</v>
      </c>
      <c r="I276" s="177">
        <f>'Balance Sheet US$'!H25+'Balance Sheet US$'!H26</f>
        <v>2218.9944134078214</v>
      </c>
      <c r="J276" s="177">
        <f>'Balance Sheet US$'!M25+'Balance Sheet US$'!M26</f>
        <v>7020.0064536947402</v>
      </c>
      <c r="K276" s="177">
        <f>'Balance Sheet US$'!N25+'Balance Sheet US$'!N26</f>
        <v>0</v>
      </c>
    </row>
    <row r="277" spans="2:11" x14ac:dyDescent="0.3">
      <c r="B277" s="192" t="s">
        <v>373</v>
      </c>
      <c r="C277" s="186">
        <f>'Balance Sheet US$'!B33-'Balance Sheet US$'!B25-'Balance Sheet US$'!B26</f>
        <v>1259.2649999999999</v>
      </c>
      <c r="D277" s="186">
        <f>'Balance Sheet US$'!C33-'Balance Sheet US$'!C25-'Balance Sheet US$'!C26</f>
        <v>1201.9664000000002</v>
      </c>
      <c r="E277" s="186">
        <f>'Balance Sheet US$'!D33-'Balance Sheet US$'!D25-'Balance Sheet US$'!D26</f>
        <v>1031.0839999999996</v>
      </c>
      <c r="F277" s="186">
        <f>'Balance Sheet US$'!E33-'Balance Sheet US$'!E25-'Balance Sheet US$'!E26</f>
        <v>1015.7724000000003</v>
      </c>
      <c r="G277" s="186">
        <f>'Balance Sheet US$'!F33-'Balance Sheet US$'!F25-'Balance Sheet US$'!F26</f>
        <v>1037.8281000000004</v>
      </c>
      <c r="H277" s="186">
        <f>'Balance Sheet US$'!G33-'Balance Sheet US$'!G25-'Balance Sheet US$'!G26</f>
        <v>1049.28395</v>
      </c>
      <c r="I277" s="186">
        <f>'Balance Sheet US$'!H33-'Balance Sheet US$'!H25-'Balance Sheet US$'!H26</f>
        <v>1018.9944134078216</v>
      </c>
      <c r="J277" s="186">
        <f>'Balance Sheet US$'!M33-'Balance Sheet US$'!M25-'Balance Sheet US$'!M26</f>
        <v>933.36560180703509</v>
      </c>
      <c r="K277" s="186">
        <f>'Balance Sheet US$'!N33-'Balance Sheet US$'!N25-'Balance Sheet US$'!N26</f>
        <v>0</v>
      </c>
    </row>
    <row r="278" spans="2:11" x14ac:dyDescent="0.3">
      <c r="B278" s="194" t="s">
        <v>374</v>
      </c>
      <c r="C278" s="184">
        <f>SUM(C276:C277)</f>
        <v>3462.2249999999995</v>
      </c>
      <c r="D278" s="184">
        <f t="shared" ref="D278:I278" si="151">SUM(D276:D277)</f>
        <v>3256.4675999999999</v>
      </c>
      <c r="E278" s="184">
        <f t="shared" si="151"/>
        <v>3063.1619999999994</v>
      </c>
      <c r="F278" s="184">
        <f t="shared" si="151"/>
        <v>3092.4626400000002</v>
      </c>
      <c r="G278" s="184">
        <f t="shared" si="151"/>
        <v>3000.4706000000006</v>
      </c>
      <c r="H278" s="184">
        <f t="shared" si="151"/>
        <v>2978.8687499999996</v>
      </c>
      <c r="I278" s="184">
        <f t="shared" si="151"/>
        <v>3237.9888268156428</v>
      </c>
      <c r="J278" s="184">
        <f t="shared" ref="J278:K278" si="152">SUM(J276:J277)</f>
        <v>7953.3720555017753</v>
      </c>
      <c r="K278" s="184">
        <f t="shared" si="152"/>
        <v>0</v>
      </c>
    </row>
    <row r="279" spans="2:11" s="187" customFormat="1" x14ac:dyDescent="0.3">
      <c r="B279" s="195" t="s">
        <v>375</v>
      </c>
      <c r="C279" s="188">
        <f>C278+C274</f>
        <v>10596.719999999998</v>
      </c>
      <c r="D279" s="188">
        <f t="shared" ref="D279:I279" si="153">D278+D274</f>
        <v>9428.7803999999996</v>
      </c>
      <c r="E279" s="188">
        <f t="shared" si="153"/>
        <v>9087.18</v>
      </c>
      <c r="F279" s="188">
        <f t="shared" si="153"/>
        <v>8906.8191000000006</v>
      </c>
      <c r="G279" s="188">
        <f t="shared" si="153"/>
        <v>9186.0296000000017</v>
      </c>
      <c r="H279" s="188">
        <f t="shared" si="153"/>
        <v>9479.6630499999992</v>
      </c>
      <c r="I279" s="188">
        <f t="shared" si="153"/>
        <v>11258.100558659218</v>
      </c>
      <c r="J279" s="188">
        <f t="shared" ref="J279:K279" si="154">J278+J274</f>
        <v>24443.368828654406</v>
      </c>
      <c r="K279" s="188">
        <f t="shared" si="154"/>
        <v>0</v>
      </c>
    </row>
    <row r="280" spans="2:11" x14ac:dyDescent="0.3">
      <c r="B280" s="196"/>
      <c r="C280" s="177"/>
      <c r="D280" s="177"/>
      <c r="E280" s="177"/>
      <c r="F280" s="177"/>
      <c r="G280" s="177"/>
      <c r="H280" s="177"/>
      <c r="I280" s="177"/>
      <c r="J280" s="177"/>
      <c r="K280" s="177"/>
    </row>
    <row r="281" spans="2:11" x14ac:dyDescent="0.3">
      <c r="B281" s="196" t="s">
        <v>376</v>
      </c>
      <c r="C281" s="177">
        <f>'Balance Sheet US$'!B35+'Balance Sheet US$'!B36</f>
        <v>507.52499999999992</v>
      </c>
      <c r="D281" s="177">
        <f>'Balance Sheet US$'!C35+'Balance Sheet US$'!C36</f>
        <v>415.01119999999997</v>
      </c>
      <c r="E281" s="177">
        <f>'Balance Sheet US$'!D35+'Balance Sheet US$'!D36</f>
        <v>507.51799999999992</v>
      </c>
      <c r="F281" s="177">
        <f>'Balance Sheet US$'!E35+'Balance Sheet US$'!E36</f>
        <v>351.75821999999999</v>
      </c>
      <c r="G281" s="177">
        <f>'Balance Sheet US$'!F35+'Balance Sheet US$'!F36</f>
        <v>417.54680000000002</v>
      </c>
      <c r="H281" s="177">
        <f>'Balance Sheet US$'!G35+'Balance Sheet US$'!G36</f>
        <v>378.40659999999997</v>
      </c>
      <c r="I281" s="177">
        <f>'Balance Sheet US$'!H35+'Balance Sheet US$'!H36</f>
        <v>526.6294227188082</v>
      </c>
      <c r="J281" s="177">
        <f>'Balance Sheet US$'!M35+'Balance Sheet US$'!M36</f>
        <v>818.81252016779604</v>
      </c>
      <c r="K281" s="177">
        <f>'Balance Sheet US$'!N35+'Balance Sheet US$'!N36</f>
        <v>0</v>
      </c>
    </row>
    <row r="282" spans="2:11" x14ac:dyDescent="0.3">
      <c r="B282" s="196" t="s">
        <v>377</v>
      </c>
      <c r="C282" s="177">
        <f>'Balance Sheet US$'!B40</f>
        <v>1381.8749999999998</v>
      </c>
      <c r="D282" s="177">
        <f>'Balance Sheet US$'!C40</f>
        <v>1521.0552</v>
      </c>
      <c r="E282" s="177">
        <f>'Balance Sheet US$'!D40</f>
        <v>1603.7969999999998</v>
      </c>
      <c r="F282" s="177">
        <f>'Balance Sheet US$'!E40</f>
        <v>1586.6741099999999</v>
      </c>
      <c r="G282" s="177">
        <f>'Balance Sheet US$'!F40</f>
        <v>1547.6838</v>
      </c>
      <c r="H282" s="177">
        <f>'Balance Sheet US$'!G40</f>
        <v>1312.8686999999998</v>
      </c>
      <c r="I282" s="177">
        <f>'Balance Sheet US$'!H40</f>
        <v>1544.1340782122904</v>
      </c>
      <c r="J282" s="177">
        <f>'Balance Sheet US$'!M40</f>
        <v>1558.5672797676668</v>
      </c>
      <c r="K282" s="177">
        <f>'Balance Sheet US$'!N40</f>
        <v>0</v>
      </c>
    </row>
    <row r="283" spans="2:11" x14ac:dyDescent="0.3">
      <c r="B283" s="169" t="s">
        <v>378</v>
      </c>
      <c r="C283" s="186">
        <f>'Balance Sheet US$'!B43-'Balance Sheet US$'!B40-'Balance Sheet US$'!B36-'Balance Sheet US$'!B35</f>
        <v>1187.9099999999999</v>
      </c>
      <c r="D283" s="186">
        <f>'Balance Sheet US$'!C43-'Balance Sheet US$'!C40-'Balance Sheet US$'!C36-'Balance Sheet US$'!C35</f>
        <v>1150.0899999999999</v>
      </c>
      <c r="E283" s="186">
        <f>'Balance Sheet US$'!D43-'Balance Sheet US$'!D40-'Balance Sheet US$'!D36-'Balance Sheet US$'!D35</f>
        <v>1164.4830000000002</v>
      </c>
      <c r="F283" s="186">
        <f>'Balance Sheet US$'!E43-'Balance Sheet US$'!E40-'Balance Sheet US$'!E36-'Balance Sheet US$'!E35</f>
        <v>1061.8583699999997</v>
      </c>
      <c r="G283" s="186">
        <f>'Balance Sheet US$'!F43-'Balance Sheet US$'!F40-'Balance Sheet US$'!F36-'Balance Sheet US$'!F35</f>
        <v>1086.1393</v>
      </c>
      <c r="H283" s="186">
        <f>'Balance Sheet US$'!G43-'Balance Sheet US$'!G40-'Balance Sheet US$'!G36-'Balance Sheet US$'!G35</f>
        <v>1073.8370499999996</v>
      </c>
      <c r="I283" s="186">
        <f>'Balance Sheet US$'!H43-'Balance Sheet US$'!H40-'Balance Sheet US$'!H36-'Balance Sheet US$'!H35</f>
        <v>1224.5810055865925</v>
      </c>
      <c r="J283" s="186">
        <f>'Balance Sheet US$'!M43-'Balance Sheet US$'!M40-'Balance Sheet US$'!M36-'Balance Sheet US$'!M35</f>
        <v>2583.0913197805735</v>
      </c>
      <c r="K283" s="186">
        <f>'Balance Sheet US$'!N43-'Balance Sheet US$'!N40-'Balance Sheet US$'!N36-'Balance Sheet US$'!N35</f>
        <v>0</v>
      </c>
    </row>
    <row r="284" spans="2:11" x14ac:dyDescent="0.3">
      <c r="B284" s="197" t="s">
        <v>379</v>
      </c>
      <c r="C284" s="184">
        <f>SUM(C281:C283)</f>
        <v>3077.3099999999995</v>
      </c>
      <c r="D284" s="184">
        <f t="shared" ref="D284:I284" si="155">SUM(D281:D283)</f>
        <v>3086.1563999999998</v>
      </c>
      <c r="E284" s="184">
        <f t="shared" si="155"/>
        <v>3275.7979999999998</v>
      </c>
      <c r="F284" s="184">
        <f t="shared" si="155"/>
        <v>3000.2906999999996</v>
      </c>
      <c r="G284" s="184">
        <f t="shared" si="155"/>
        <v>3051.3699000000001</v>
      </c>
      <c r="H284" s="184">
        <f t="shared" si="155"/>
        <v>2765.1123499999994</v>
      </c>
      <c r="I284" s="184">
        <f t="shared" si="155"/>
        <v>3295.3445065176911</v>
      </c>
      <c r="J284" s="184">
        <f t="shared" ref="J284:K284" si="156">SUM(J281:J283)</f>
        <v>4960.4711197160359</v>
      </c>
      <c r="K284" s="184">
        <f t="shared" si="156"/>
        <v>0</v>
      </c>
    </row>
    <row r="285" spans="2:11" s="187" customFormat="1" x14ac:dyDescent="0.3">
      <c r="B285" s="198" t="s">
        <v>380</v>
      </c>
      <c r="C285" s="188">
        <f>C278-C284</f>
        <v>384.91499999999996</v>
      </c>
      <c r="D285" s="188">
        <f t="shared" ref="D285:I285" si="157">D278-D284</f>
        <v>170.3112000000001</v>
      </c>
      <c r="E285" s="188">
        <f t="shared" si="157"/>
        <v>-212.63600000000042</v>
      </c>
      <c r="F285" s="188">
        <f t="shared" si="157"/>
        <v>92.171940000000632</v>
      </c>
      <c r="G285" s="188">
        <f t="shared" si="157"/>
        <v>-50.899299999999585</v>
      </c>
      <c r="H285" s="188">
        <f t="shared" si="157"/>
        <v>213.75640000000021</v>
      </c>
      <c r="I285" s="188">
        <f t="shared" si="157"/>
        <v>-57.355679702048292</v>
      </c>
      <c r="J285" s="188">
        <f t="shared" ref="J285:K285" si="158">J278-J284</f>
        <v>2992.9009357857394</v>
      </c>
      <c r="K285" s="188">
        <f t="shared" si="158"/>
        <v>0</v>
      </c>
    </row>
    <row r="286" spans="2:11" x14ac:dyDescent="0.3">
      <c r="B286" s="169"/>
      <c r="C286" s="177"/>
      <c r="D286" s="177"/>
      <c r="E286" s="177"/>
      <c r="F286" s="177"/>
      <c r="G286" s="177"/>
      <c r="H286" s="177"/>
      <c r="I286" s="177"/>
      <c r="J286" s="177"/>
      <c r="K286" s="177"/>
    </row>
    <row r="287" spans="2:11" x14ac:dyDescent="0.3">
      <c r="B287" s="169" t="s">
        <v>381</v>
      </c>
      <c r="C287" s="177">
        <f>'Balance Sheet US$'!B49</f>
        <v>3971.7599999999993</v>
      </c>
      <c r="D287" s="177">
        <f>'Balance Sheet US$'!C49</f>
        <v>3823.1927999999998</v>
      </c>
      <c r="E287" s="177">
        <f>'Balance Sheet US$'!D49</f>
        <v>3459.3469999999993</v>
      </c>
      <c r="F287" s="177">
        <f>'Balance Sheet US$'!E49</f>
        <v>3723.55827</v>
      </c>
      <c r="G287" s="177">
        <f>'Balance Sheet US$'!F49</f>
        <v>4082.2964000000002</v>
      </c>
      <c r="H287" s="177">
        <f>'Balance Sheet US$'!G49</f>
        <v>4239.0204999999996</v>
      </c>
      <c r="I287" s="177">
        <f>'Balance Sheet US$'!H49</f>
        <v>4402.9795158286779</v>
      </c>
      <c r="J287" s="177">
        <f>'Balance Sheet US$'!M49</f>
        <v>12638.754436915133</v>
      </c>
      <c r="K287" s="177">
        <f>'Balance Sheet US$'!N49</f>
        <v>0</v>
      </c>
    </row>
    <row r="288" spans="2:11" x14ac:dyDescent="0.3">
      <c r="B288" s="169" t="s">
        <v>382</v>
      </c>
      <c r="C288" s="177">
        <f>'Balance Sheet US$'!B54</f>
        <v>1064.2949999999998</v>
      </c>
      <c r="D288" s="177">
        <f>'Balance Sheet US$'!C54</f>
        <v>5445.0644000000002</v>
      </c>
      <c r="E288" s="177">
        <f>'Balance Sheet US$'!D54</f>
        <v>4703.0669999999991</v>
      </c>
      <c r="F288" s="177">
        <f>'Balance Sheet US$'!E54</f>
        <v>2527.2041100000001</v>
      </c>
      <c r="G288" s="177">
        <f>'Balance Sheet US$'!F54</f>
        <v>2073.0681</v>
      </c>
      <c r="H288" s="177">
        <f>'Balance Sheet US$'!G54</f>
        <v>1621.2267499999998</v>
      </c>
      <c r="I288" s="177">
        <f>'Balance Sheet US$'!H54</f>
        <v>1814.5251396648043</v>
      </c>
      <c r="J288" s="177">
        <f>'Balance Sheet US$'!M54</f>
        <v>2057.9219102936431</v>
      </c>
      <c r="K288" s="177">
        <f>'Balance Sheet US$'!N54</f>
        <v>0</v>
      </c>
    </row>
    <row r="289" spans="2:11" x14ac:dyDescent="0.3">
      <c r="B289" s="169" t="s">
        <v>383</v>
      </c>
      <c r="C289" s="186">
        <f>'Balance Sheet US$'!B57-'Balance Sheet US$'!B54</f>
        <v>564.80999999999995</v>
      </c>
      <c r="D289" s="186">
        <f>'Balance Sheet US$'!C57-'Balance Sheet US$'!C54</f>
        <v>995.4395999999997</v>
      </c>
      <c r="E289" s="186">
        <f>'Balance Sheet US$'!D57-'Balance Sheet US$'!D54</f>
        <v>1000.9939999999997</v>
      </c>
      <c r="F289" s="186">
        <f>'Balance Sheet US$'!E57-'Balance Sheet US$'!E54</f>
        <v>969.68642999999975</v>
      </c>
      <c r="G289" s="186">
        <f>'Balance Sheet US$'!F57-'Balance Sheet US$'!F54</f>
        <v>956.73429999999962</v>
      </c>
      <c r="H289" s="186">
        <f>'Balance Sheet US$'!G57-'Balance Sheet US$'!G54</f>
        <v>825.41744999999992</v>
      </c>
      <c r="I289" s="186">
        <f>'Balance Sheet US$'!H57-'Balance Sheet US$'!H54</f>
        <v>837.24394785847312</v>
      </c>
      <c r="J289" s="186">
        <f>'Balance Sheet US$'!M57-'Balance Sheet US$'!M54</f>
        <v>4669.2481445627618</v>
      </c>
      <c r="K289" s="186">
        <f>'Balance Sheet US$'!N57-'Balance Sheet US$'!N54</f>
        <v>0</v>
      </c>
    </row>
    <row r="290" spans="2:11" x14ac:dyDescent="0.3">
      <c r="B290" s="197" t="s">
        <v>384</v>
      </c>
      <c r="C290" s="184">
        <f>SUM(C287:C289)</f>
        <v>5600.8649999999998</v>
      </c>
      <c r="D290" s="184">
        <f t="shared" ref="D290:I290" si="159">SUM(D287:D289)</f>
        <v>10263.6968</v>
      </c>
      <c r="E290" s="184">
        <f t="shared" si="159"/>
        <v>9163.4079999999994</v>
      </c>
      <c r="F290" s="184">
        <f t="shared" si="159"/>
        <v>7220.4488099999999</v>
      </c>
      <c r="G290" s="184">
        <f t="shared" si="159"/>
        <v>7112.0987999999998</v>
      </c>
      <c r="H290" s="184">
        <f t="shared" si="159"/>
        <v>6685.6646999999994</v>
      </c>
      <c r="I290" s="184">
        <f t="shared" si="159"/>
        <v>7054.7486033519554</v>
      </c>
      <c r="J290" s="184">
        <f t="shared" ref="J290:K290" si="160">SUM(J287:J289)</f>
        <v>19365.92449177154</v>
      </c>
      <c r="K290" s="184">
        <f t="shared" si="160"/>
        <v>0</v>
      </c>
    </row>
    <row r="291" spans="2:11" x14ac:dyDescent="0.3">
      <c r="B291" s="169"/>
      <c r="C291" s="177"/>
      <c r="D291" s="177"/>
      <c r="E291" s="177"/>
      <c r="F291" s="177"/>
      <c r="G291" s="177"/>
      <c r="H291" s="177"/>
      <c r="I291" s="177"/>
      <c r="J291" s="177"/>
      <c r="K291" s="177"/>
    </row>
    <row r="292" spans="2:11" ht="15" thickBot="1" x14ac:dyDescent="0.35">
      <c r="B292" s="197" t="s">
        <v>385</v>
      </c>
      <c r="C292" s="191">
        <f>C279-C284-C290</f>
        <v>1918.5449999999983</v>
      </c>
      <c r="D292" s="191">
        <f t="shared" ref="D292:I292" si="161">D279-D284-D290</f>
        <v>-3921.0727999999999</v>
      </c>
      <c r="E292" s="191">
        <f t="shared" si="161"/>
        <v>-3352.0259999999989</v>
      </c>
      <c r="F292" s="191">
        <f t="shared" si="161"/>
        <v>-1313.9204099999988</v>
      </c>
      <c r="G292" s="191">
        <f t="shared" si="161"/>
        <v>-977.43909999999778</v>
      </c>
      <c r="H292" s="191">
        <f t="shared" si="161"/>
        <v>28.886000000000422</v>
      </c>
      <c r="I292" s="191">
        <f t="shared" si="161"/>
        <v>908.00744878957175</v>
      </c>
      <c r="J292" s="191">
        <f t="shared" ref="J292:K292" si="162">J279-J284-J290</f>
        <v>116.97321716682927</v>
      </c>
      <c r="K292" s="191">
        <f t="shared" si="162"/>
        <v>0</v>
      </c>
    </row>
    <row r="293" spans="2:11" ht="15" thickTop="1" x14ac:dyDescent="0.3">
      <c r="B293" s="169"/>
      <c r="C293" s="177"/>
      <c r="D293" s="177"/>
      <c r="E293" s="177"/>
      <c r="F293" s="177"/>
      <c r="G293" s="177"/>
      <c r="H293" s="177"/>
      <c r="I293" s="177"/>
      <c r="J293" s="177"/>
      <c r="K293" s="177"/>
    </row>
    <row r="294" spans="2:11" s="187" customFormat="1" x14ac:dyDescent="0.3">
      <c r="B294" s="198" t="s">
        <v>386</v>
      </c>
      <c r="C294" s="190">
        <f>C279+C262</f>
        <v>12947.742626894065</v>
      </c>
      <c r="D294" s="190">
        <f t="shared" ref="D294:I294" si="163">D279+D262</f>
        <v>11800.269938141035</v>
      </c>
      <c r="E294" s="190">
        <f t="shared" si="163"/>
        <v>11440.027024928975</v>
      </c>
      <c r="F294" s="190">
        <f t="shared" si="163"/>
        <v>11068.403873742474</v>
      </c>
      <c r="G294" s="190">
        <f t="shared" si="163"/>
        <v>11291.343331142501</v>
      </c>
      <c r="H294" s="190">
        <f t="shared" si="163"/>
        <v>11413.712814016186</v>
      </c>
      <c r="I294" s="190">
        <f t="shared" si="163"/>
        <v>13698.413256736549</v>
      </c>
      <c r="J294" s="190">
        <f t="shared" ref="J294:K294" si="164">J279+J262</f>
        <v>24443.368828654406</v>
      </c>
      <c r="K294" s="190">
        <f t="shared" si="164"/>
        <v>0</v>
      </c>
    </row>
    <row r="295" spans="2:11" x14ac:dyDescent="0.3">
      <c r="B295" s="86"/>
      <c r="C295" s="186"/>
      <c r="D295" s="186"/>
      <c r="E295" s="186"/>
      <c r="F295" s="186"/>
      <c r="G295" s="186"/>
      <c r="H295" s="186"/>
      <c r="I295" s="193"/>
      <c r="J295" s="193"/>
      <c r="K295" s="193"/>
    </row>
    <row r="299" spans="2:11" x14ac:dyDescent="0.3">
      <c r="B299" s="146" t="s">
        <v>387</v>
      </c>
      <c r="C299" s="147"/>
      <c r="D299" s="147"/>
      <c r="E299" s="147"/>
      <c r="F299" s="147"/>
      <c r="G299" s="147"/>
      <c r="H299" s="147"/>
      <c r="I299" s="109"/>
      <c r="J299" s="109"/>
      <c r="K299" s="109"/>
    </row>
    <row r="300" spans="2:11" x14ac:dyDescent="0.3">
      <c r="B300" s="150" t="s">
        <v>349</v>
      </c>
      <c r="C300" s="151">
        <v>2010</v>
      </c>
      <c r="D300" s="151">
        <v>2011</v>
      </c>
      <c r="E300" s="151">
        <v>2012</v>
      </c>
      <c r="F300" s="151">
        <v>2013</v>
      </c>
      <c r="G300" s="151">
        <v>2014</v>
      </c>
      <c r="H300" s="151">
        <v>2015</v>
      </c>
      <c r="I300" s="185">
        <v>42614</v>
      </c>
      <c r="J300" s="185">
        <v>42644</v>
      </c>
      <c r="K300" s="185">
        <v>42675</v>
      </c>
    </row>
    <row r="301" spans="2:11" x14ac:dyDescent="0.3">
      <c r="B301" s="169" t="s">
        <v>344</v>
      </c>
      <c r="C301" s="200">
        <f>C213</f>
        <v>1345.3828905347546</v>
      </c>
      <c r="D301" s="200">
        <f t="shared" ref="D301:I301" si="165">D213</f>
        <v>1256.0298534631856</v>
      </c>
      <c r="E301" s="200">
        <f t="shared" si="165"/>
        <v>1451.5225481173238</v>
      </c>
      <c r="F301" s="200">
        <f t="shared" si="165"/>
        <v>1471.1594484365887</v>
      </c>
      <c r="G301" s="200">
        <f t="shared" si="165"/>
        <v>1605.6500432401263</v>
      </c>
      <c r="H301" s="200">
        <f t="shared" si="165"/>
        <v>1966.1404318934274</v>
      </c>
      <c r="I301" s="200">
        <f t="shared" si="165"/>
        <v>2047.9309408107219</v>
      </c>
      <c r="J301" s="200">
        <f t="shared" ref="J301:K301" si="166">J213</f>
        <v>-1459.2638225781602</v>
      </c>
      <c r="K301" s="200">
        <f t="shared" si="166"/>
        <v>0</v>
      </c>
    </row>
    <row r="302" spans="2:11" x14ac:dyDescent="0.3">
      <c r="B302" s="169" t="s">
        <v>389</v>
      </c>
      <c r="C302" s="200">
        <f>'Annual Cash Flow US$'!B56</f>
        <v>1025.0536308836236</v>
      </c>
      <c r="D302" s="200">
        <f>'Annual Cash Flow US$'!C56</f>
        <v>860.61304774329255</v>
      </c>
      <c r="E302" s="200">
        <f>'Annual Cash Flow US$'!D56</f>
        <v>765.27549917970464</v>
      </c>
      <c r="F302" s="200">
        <f>'Annual Cash Flow US$'!E56</f>
        <v>958.43853175373852</v>
      </c>
      <c r="G302" s="200">
        <f>'Annual Cash Flow US$'!F56</f>
        <v>1093.4947631401942</v>
      </c>
      <c r="H302" s="200">
        <f>'Annual Cash Flow US$'!G56</f>
        <v>1678.8898194312908</v>
      </c>
      <c r="I302" s="200">
        <f>'Annual Cash Flow US$'!H56</f>
        <v>1917.3885484893303</v>
      </c>
      <c r="J302" s="200">
        <f>'Annual Cash Flow US$'!M56</f>
        <v>-1828.1327201550682</v>
      </c>
      <c r="K302" s="200">
        <f>'Annual Cash Flow US$'!N56</f>
        <v>0</v>
      </c>
    </row>
    <row r="303" spans="2:11" x14ac:dyDescent="0.3">
      <c r="B303" s="169"/>
      <c r="C303" s="200"/>
      <c r="D303" s="200"/>
      <c r="E303" s="200"/>
      <c r="F303" s="200"/>
      <c r="G303" s="200"/>
      <c r="H303" s="200"/>
      <c r="I303" s="200"/>
      <c r="J303" s="200"/>
      <c r="K303" s="200"/>
    </row>
    <row r="304" spans="2:11" x14ac:dyDescent="0.3">
      <c r="B304" s="170" t="s">
        <v>390</v>
      </c>
      <c r="C304" s="201">
        <f>C302/C301</f>
        <v>0.76190476190476264</v>
      </c>
      <c r="D304" s="201">
        <f t="shared" ref="D304:I304" si="167">D302/D301</f>
        <v>0.68518518518518412</v>
      </c>
      <c r="E304" s="201">
        <f t="shared" si="167"/>
        <v>0.52722260509993046</v>
      </c>
      <c r="F304" s="201">
        <f t="shared" si="167"/>
        <v>0.65148514851485184</v>
      </c>
      <c r="G304" s="201">
        <f t="shared" si="167"/>
        <v>0.68102932375822889</v>
      </c>
      <c r="H304" s="201">
        <f t="shared" si="167"/>
        <v>0.85390127388535042</v>
      </c>
      <c r="I304" s="201">
        <f t="shared" si="167"/>
        <v>0.93625644804716246</v>
      </c>
      <c r="J304" s="201">
        <f t="shared" ref="J304:K304" si="168">J302/J301</f>
        <v>1.2527773880703816</v>
      </c>
      <c r="K304" s="201" t="e">
        <f t="shared" si="168"/>
        <v>#DIV/0!</v>
      </c>
    </row>
    <row r="305" spans="2:11" x14ac:dyDescent="0.3">
      <c r="B305" s="169"/>
      <c r="C305" s="200"/>
      <c r="D305" s="200"/>
      <c r="E305" s="200"/>
      <c r="F305" s="200"/>
      <c r="G305" s="200"/>
      <c r="H305" s="200"/>
      <c r="I305" s="200"/>
      <c r="J305" s="200"/>
      <c r="K305" s="200"/>
    </row>
    <row r="306" spans="2:11" x14ac:dyDescent="0.3">
      <c r="B306" s="169" t="s">
        <v>391</v>
      </c>
      <c r="C306" s="199">
        <f>'Annual Cash Flow US$'!B57</f>
        <v>0</v>
      </c>
      <c r="D306" s="199">
        <f>'Annual Cash Flow US$'!C57</f>
        <v>0</v>
      </c>
      <c r="E306" s="199">
        <f>'Annual Cash Flow US$'!D57</f>
        <v>286.10299707894842</v>
      </c>
      <c r="F306" s="199">
        <f>'Annual Cash Flow US$'!E57</f>
        <v>0</v>
      </c>
      <c r="G306" s="199">
        <f>'Annual Cash Flow US$'!F57</f>
        <v>241.18381858364569</v>
      </c>
      <c r="H306" s="199">
        <f>'Annual Cash Flow US$'!G57</f>
        <v>694.25420505154079</v>
      </c>
      <c r="I306" s="199">
        <f>'Annual Cash Flow US$'!H57</f>
        <v>23.391989375509411</v>
      </c>
      <c r="J306" s="199">
        <f>'Annual Cash Flow US$'!M57</f>
        <v>0</v>
      </c>
      <c r="K306" s="199">
        <f>'Annual Cash Flow US$'!N57</f>
        <v>0</v>
      </c>
    </row>
    <row r="307" spans="2:11" s="138" customFormat="1" x14ac:dyDescent="0.3">
      <c r="B307" s="159" t="s">
        <v>392</v>
      </c>
      <c r="C307" s="182">
        <f>C302-C306</f>
        <v>1025.0536308836236</v>
      </c>
      <c r="D307" s="182">
        <f t="shared" ref="D307:I307" si="169">D302-D306</f>
        <v>860.61304774329255</v>
      </c>
      <c r="E307" s="182">
        <f t="shared" si="169"/>
        <v>479.17250210075622</v>
      </c>
      <c r="F307" s="182">
        <f t="shared" si="169"/>
        <v>958.43853175373852</v>
      </c>
      <c r="G307" s="182">
        <f t="shared" si="169"/>
        <v>852.31094455654852</v>
      </c>
      <c r="H307" s="182">
        <f t="shared" si="169"/>
        <v>984.63561437975</v>
      </c>
      <c r="I307" s="182">
        <f t="shared" si="169"/>
        <v>1893.9965591138209</v>
      </c>
      <c r="J307" s="182">
        <f t="shared" ref="J307:K307" si="170">J302-J306</f>
        <v>-1828.1327201550682</v>
      </c>
      <c r="K307" s="182">
        <f t="shared" si="170"/>
        <v>0</v>
      </c>
    </row>
    <row r="308" spans="2:11" x14ac:dyDescent="0.3">
      <c r="B308" s="169"/>
      <c r="C308" s="183"/>
      <c r="D308" s="183"/>
      <c r="E308" s="183"/>
      <c r="F308" s="183"/>
      <c r="G308" s="183"/>
      <c r="H308" s="183"/>
      <c r="I308" s="183"/>
      <c r="J308" s="183"/>
      <c r="K308" s="183"/>
    </row>
    <row r="309" spans="2:11" x14ac:dyDescent="0.3">
      <c r="B309" s="169" t="s">
        <v>393</v>
      </c>
      <c r="C309" s="200">
        <f>'Annual Cash Flow US$'!B62</f>
        <v>1101.738514254652</v>
      </c>
      <c r="D309" s="200">
        <f>'Annual Cash Flow US$'!C62</f>
        <v>614.86807641353926</v>
      </c>
      <c r="E309" s="200">
        <f>'Annual Cash Flow US$'!D62</f>
        <v>442.15917730382938</v>
      </c>
      <c r="F309" s="200">
        <f>'Annual Cash Flow US$'!E62</f>
        <v>1598.3686152650998</v>
      </c>
      <c r="G309" s="200">
        <f>'Annual Cash Flow US$'!F62</f>
        <v>650.52368598059002</v>
      </c>
      <c r="H309" s="200">
        <f>'Annual Cash Flow US$'!G62</f>
        <v>553.36834607828553</v>
      </c>
      <c r="I309" s="200">
        <f>'Annual Cash Flow US$'!H62</f>
        <v>1716.6701880414114</v>
      </c>
      <c r="J309" s="200">
        <f>'Annual Cash Flow US$'!M62</f>
        <v>3806.7728326555434</v>
      </c>
      <c r="K309" s="200">
        <f>'Annual Cash Flow US$'!N62</f>
        <v>0</v>
      </c>
    </row>
    <row r="310" spans="2:11" x14ac:dyDescent="0.3">
      <c r="B310" s="169" t="s">
        <v>394</v>
      </c>
      <c r="C310" s="199">
        <f>'Annual Cash Flow US$'!B61</f>
        <v>335.86037527058119</v>
      </c>
      <c r="D310" s="199">
        <f>'Annual Cash Flow US$'!C61</f>
        <v>338.78421973443363</v>
      </c>
      <c r="E310" s="199">
        <f>'Annual Cash Flow US$'!D61</f>
        <v>336.12100356128207</v>
      </c>
      <c r="F310" s="199">
        <f>'Annual Cash Flow US$'!E61</f>
        <v>308.79782482035347</v>
      </c>
      <c r="G310" s="199">
        <f>'Annual Cash Flow US$'!F61</f>
        <v>300.75910444892861</v>
      </c>
      <c r="H310" s="199">
        <f>'Annual Cash Flow US$'!G61</f>
        <v>276.29282343088374</v>
      </c>
      <c r="I310" s="199">
        <f>'Annual Cash Flow US$'!H61</f>
        <v>348.61609972533279</v>
      </c>
      <c r="J310" s="199">
        <f>'Annual Cash Flow US$'!M61</f>
        <v>0</v>
      </c>
      <c r="K310" s="199">
        <f>'Annual Cash Flow US$'!N61</f>
        <v>0</v>
      </c>
    </row>
    <row r="311" spans="2:11" s="138" customFormat="1" x14ac:dyDescent="0.3">
      <c r="B311" s="159" t="s">
        <v>297</v>
      </c>
      <c r="C311" s="182">
        <f>C309+C310</f>
        <v>1437.5988895252333</v>
      </c>
      <c r="D311" s="182">
        <f t="shared" ref="D311:I311" si="171">D309+D310</f>
        <v>953.65229614797295</v>
      </c>
      <c r="E311" s="182">
        <f t="shared" si="171"/>
        <v>778.28018086511145</v>
      </c>
      <c r="F311" s="182">
        <f t="shared" si="171"/>
        <v>1907.1664400854534</v>
      </c>
      <c r="G311" s="182">
        <f t="shared" si="171"/>
        <v>951.28279042951863</v>
      </c>
      <c r="H311" s="182">
        <f t="shared" si="171"/>
        <v>829.66116950916921</v>
      </c>
      <c r="I311" s="182">
        <f t="shared" si="171"/>
        <v>2065.286287766744</v>
      </c>
      <c r="J311" s="182">
        <f t="shared" ref="J311:K311" si="172">J309+J310</f>
        <v>3806.7728326555434</v>
      </c>
      <c r="K311" s="182">
        <f t="shared" si="172"/>
        <v>0</v>
      </c>
    </row>
    <row r="312" spans="2:11" x14ac:dyDescent="0.3">
      <c r="B312" s="169"/>
      <c r="C312" s="183"/>
      <c r="D312" s="183"/>
      <c r="E312" s="183"/>
      <c r="F312" s="183"/>
      <c r="G312" s="183"/>
      <c r="H312" s="183"/>
      <c r="I312" s="183"/>
      <c r="J312" s="183"/>
      <c r="K312" s="183"/>
    </row>
    <row r="313" spans="2:11" s="189" customFormat="1" x14ac:dyDescent="0.3">
      <c r="B313" s="170" t="s">
        <v>292</v>
      </c>
      <c r="C313" s="171">
        <f>C307/C311</f>
        <v>0.71303173531397712</v>
      </c>
      <c r="D313" s="171">
        <f t="shared" ref="D313:I313" si="173">D307/D311</f>
        <v>0.90243902439024382</v>
      </c>
      <c r="E313" s="171">
        <f t="shared" si="173"/>
        <v>0.61568123393316188</v>
      </c>
      <c r="F313" s="171">
        <f t="shared" si="173"/>
        <v>0.50254582484725052</v>
      </c>
      <c r="G313" s="171">
        <f t="shared" si="173"/>
        <v>0.89595959595959596</v>
      </c>
      <c r="H313" s="171">
        <f t="shared" si="173"/>
        <v>1.1867924528301887</v>
      </c>
      <c r="I313" s="171">
        <f t="shared" si="173"/>
        <v>0.91706247716477907</v>
      </c>
      <c r="J313" s="171">
        <f t="shared" ref="J313:K313" si="174">J307/J311</f>
        <v>-0.48023162939297126</v>
      </c>
      <c r="K313" s="171" t="e">
        <f t="shared" si="174"/>
        <v>#DIV/0!</v>
      </c>
    </row>
    <row r="314" spans="2:11" x14ac:dyDescent="0.3">
      <c r="B314" s="86"/>
      <c r="C314" s="87"/>
      <c r="D314" s="87"/>
      <c r="E314" s="87"/>
      <c r="F314" s="87"/>
      <c r="G314" s="87"/>
      <c r="H314" s="87"/>
      <c r="I314" s="88"/>
      <c r="J314" s="88"/>
      <c r="K314" s="88"/>
    </row>
    <row r="318" spans="2:11" x14ac:dyDescent="0.3">
      <c r="B318" s="52" t="s">
        <v>401</v>
      </c>
    </row>
    <row r="319" spans="2:11" x14ac:dyDescent="0.3">
      <c r="C319" s="52" t="s">
        <v>403</v>
      </c>
      <c r="D319" s="52" t="s">
        <v>404</v>
      </c>
      <c r="E319" s="52" t="s">
        <v>405</v>
      </c>
    </row>
    <row r="320" spans="2:11" x14ac:dyDescent="0.3">
      <c r="B320" s="52" t="s">
        <v>402</v>
      </c>
      <c r="F320" s="52">
        <v>558508</v>
      </c>
    </row>
    <row r="321" spans="2:13" x14ac:dyDescent="0.3">
      <c r="C321" s="52">
        <v>1</v>
      </c>
      <c r="F321" s="52">
        <v>438038</v>
      </c>
    </row>
    <row r="322" spans="2:13" x14ac:dyDescent="0.3">
      <c r="C322" s="52">
        <v>22</v>
      </c>
      <c r="F322" s="52">
        <f>F320+F321</f>
        <v>996546</v>
      </c>
    </row>
    <row r="323" spans="2:13" x14ac:dyDescent="0.3">
      <c r="C323" s="52">
        <v>22</v>
      </c>
      <c r="F323" s="135" t="e">
        <f>F322/'Balance Sheet US$'!#REF!</f>
        <v>#REF!</v>
      </c>
    </row>
    <row r="324" spans="2:13" x14ac:dyDescent="0.3">
      <c r="C324" s="52">
        <v>22</v>
      </c>
    </row>
    <row r="325" spans="2:13" x14ac:dyDescent="0.3">
      <c r="C325" s="52">
        <v>33</v>
      </c>
    </row>
    <row r="328" spans="2:13" x14ac:dyDescent="0.3">
      <c r="C328" s="52">
        <v>1.327</v>
      </c>
      <c r="D328" s="52">
        <v>1.3919999999999999</v>
      </c>
      <c r="E328" s="52">
        <v>1.286</v>
      </c>
      <c r="F328" s="52">
        <v>1.3280000000000001</v>
      </c>
      <c r="G328" s="52">
        <v>1.3280000000000001</v>
      </c>
      <c r="H328" s="52">
        <v>1.1100000000000001</v>
      </c>
      <c r="I328" s="52">
        <v>1.1060000000000001</v>
      </c>
      <c r="J328" s="52">
        <v>2.1059999999999999</v>
      </c>
      <c r="K328" s="52">
        <v>3.1059999999999999</v>
      </c>
      <c r="L328" s="52">
        <v>1.1060000000000001</v>
      </c>
      <c r="M328" s="52">
        <v>1.1060000000000001</v>
      </c>
    </row>
    <row r="329" spans="2:13" x14ac:dyDescent="0.3">
      <c r="C329" s="52">
        <v>2010</v>
      </c>
      <c r="D329" s="52">
        <v>2011</v>
      </c>
      <c r="E329" s="52">
        <v>2012</v>
      </c>
      <c r="F329" s="52">
        <v>2013</v>
      </c>
      <c r="G329" s="52">
        <v>2014</v>
      </c>
      <c r="H329" s="52">
        <v>2015</v>
      </c>
      <c r="I329" s="52">
        <v>2016</v>
      </c>
      <c r="J329" s="52">
        <v>2017</v>
      </c>
      <c r="K329" s="52">
        <v>2018</v>
      </c>
      <c r="L329" s="52" t="s">
        <v>409</v>
      </c>
      <c r="M329" s="52" t="s">
        <v>410</v>
      </c>
    </row>
    <row r="330" spans="2:13" x14ac:dyDescent="0.3">
      <c r="B330" s="52" t="s">
        <v>408</v>
      </c>
      <c r="C330" s="200">
        <f>-'Annual Cash Flow US$'!B14</f>
        <v>114.5419776934352</v>
      </c>
      <c r="D330" s="200">
        <f>-'Annual Cash Flow US$'!C14</f>
        <v>222.48515922858329</v>
      </c>
      <c r="E330" s="200">
        <f>-'Annual Cash Flow US$'!D14</f>
        <v>462.16637989676286</v>
      </c>
      <c r="F330" s="200">
        <f>-'Annual Cash Flow US$'!E14</f>
        <v>934.16197319867933</v>
      </c>
      <c r="G330" s="200">
        <f>-'Annual Cash Flow US$'!F14</f>
        <v>1442.2984529643509</v>
      </c>
      <c r="H330" s="200">
        <f>-'Annual Cash Flow US$'!G14</f>
        <v>1420.5990779803228</v>
      </c>
      <c r="I330" s="200" t="e">
        <f>-'Annual Cash Flow US$'!#REF!</f>
        <v>#REF!</v>
      </c>
      <c r="J330" s="200" t="e">
        <f>-'Annual Cash Flow US$'!#REF!</f>
        <v>#REF!</v>
      </c>
      <c r="K330" s="200" t="e">
        <f>-'Annual Cash Flow US$'!#REF!</f>
        <v>#REF!</v>
      </c>
      <c r="L330" s="200">
        <v>1800</v>
      </c>
      <c r="M330" s="200">
        <v>2000</v>
      </c>
    </row>
  </sheetData>
  <autoFilter ref="B167:I175" xr:uid="{00000000-0009-0000-0000-00000D000000}">
    <sortState xmlns:xlrd2="http://schemas.microsoft.com/office/spreadsheetml/2017/richdata2" ref="B168:I176">
      <sortCondition descending="1" ref="I167:I175"/>
    </sortState>
  </autoFilter>
  <pageMargins left="0.7" right="0.7" top="0.75" bottom="0.75" header="0.3" footer="0.3"/>
  <pageSetup orientation="portrait" r:id="rId1"/>
  <ignoredErrors>
    <ignoredError sqref="C264 D34:I34" formula="1"/>
    <ignoredError sqref="C16:K16 C18:K20 C17 C22:K23" evalError="1"/>
  </ignoredError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sheetPr>
  <dimension ref="B9:J24"/>
  <sheetViews>
    <sheetView view="pageBreakPreview" zoomScale="60" zoomScaleNormal="100" workbookViewId="0">
      <selection activeCell="K26" sqref="K26"/>
    </sheetView>
  </sheetViews>
  <sheetFormatPr defaultColWidth="9" defaultRowHeight="14.4" x14ac:dyDescent="0.3"/>
  <cols>
    <col min="1" max="16384" width="9" style="52"/>
  </cols>
  <sheetData>
    <row r="9" spans="2:10" x14ac:dyDescent="0.3">
      <c r="B9" s="350" t="s">
        <v>287</v>
      </c>
      <c r="C9" s="350"/>
      <c r="D9" s="350"/>
      <c r="E9" s="350"/>
      <c r="F9" s="350"/>
      <c r="G9" s="350"/>
      <c r="H9" s="350"/>
      <c r="I9" s="350"/>
      <c r="J9" s="350"/>
    </row>
    <row r="10" spans="2:10" x14ac:dyDescent="0.3">
      <c r="B10" s="350"/>
      <c r="C10" s="350"/>
      <c r="D10" s="350"/>
      <c r="E10" s="350"/>
      <c r="F10" s="350"/>
      <c r="G10" s="350"/>
      <c r="H10" s="350"/>
      <c r="I10" s="350"/>
      <c r="J10" s="350"/>
    </row>
    <row r="11" spans="2:10" x14ac:dyDescent="0.3">
      <c r="B11" s="350"/>
      <c r="C11" s="350"/>
      <c r="D11" s="350"/>
      <c r="E11" s="350"/>
      <c r="F11" s="350"/>
      <c r="G11" s="350"/>
      <c r="H11" s="350"/>
      <c r="I11" s="350"/>
      <c r="J11" s="350"/>
    </row>
    <row r="12" spans="2:10" x14ac:dyDescent="0.3">
      <c r="B12" s="350"/>
      <c r="C12" s="350"/>
      <c r="D12" s="350"/>
      <c r="E12" s="350"/>
      <c r="F12" s="350"/>
      <c r="G12" s="350"/>
      <c r="H12" s="350"/>
      <c r="I12" s="350"/>
      <c r="J12" s="350"/>
    </row>
    <row r="13" spans="2:10" x14ac:dyDescent="0.3">
      <c r="B13" s="350"/>
      <c r="C13" s="350"/>
      <c r="D13" s="350"/>
      <c r="E13" s="350"/>
      <c r="F13" s="350"/>
      <c r="G13" s="350"/>
      <c r="H13" s="350"/>
      <c r="I13" s="350"/>
      <c r="J13" s="350"/>
    </row>
    <row r="14" spans="2:10" x14ac:dyDescent="0.3">
      <c r="B14" s="350"/>
      <c r="C14" s="350"/>
      <c r="D14" s="350"/>
      <c r="E14" s="350"/>
      <c r="F14" s="350"/>
      <c r="G14" s="350"/>
      <c r="H14" s="350"/>
      <c r="I14" s="350"/>
      <c r="J14" s="350"/>
    </row>
    <row r="15" spans="2:10" x14ac:dyDescent="0.3">
      <c r="B15" s="350"/>
      <c r="C15" s="350"/>
      <c r="D15" s="350"/>
      <c r="E15" s="350"/>
      <c r="F15" s="350"/>
      <c r="G15" s="350"/>
      <c r="H15" s="350"/>
      <c r="I15" s="350"/>
      <c r="J15" s="350"/>
    </row>
    <row r="16" spans="2:10" x14ac:dyDescent="0.3">
      <c r="B16" s="350"/>
      <c r="C16" s="350"/>
      <c r="D16" s="350"/>
      <c r="E16" s="350"/>
      <c r="F16" s="350"/>
      <c r="G16" s="350"/>
      <c r="H16" s="350"/>
      <c r="I16" s="350"/>
      <c r="J16" s="350"/>
    </row>
    <row r="17" spans="2:10" x14ac:dyDescent="0.3">
      <c r="B17" s="350"/>
      <c r="C17" s="350"/>
      <c r="D17" s="350"/>
      <c r="E17" s="350"/>
      <c r="F17" s="350"/>
      <c r="G17" s="350"/>
      <c r="H17" s="350"/>
      <c r="I17" s="350"/>
      <c r="J17" s="350"/>
    </row>
    <row r="18" spans="2:10" x14ac:dyDescent="0.3">
      <c r="B18" s="350"/>
      <c r="C18" s="350"/>
      <c r="D18" s="350"/>
      <c r="E18" s="350"/>
      <c r="F18" s="350"/>
      <c r="G18" s="350"/>
      <c r="H18" s="350"/>
      <c r="I18" s="350"/>
      <c r="J18" s="350"/>
    </row>
    <row r="19" spans="2:10" x14ac:dyDescent="0.3">
      <c r="B19" s="350"/>
      <c r="C19" s="350"/>
      <c r="D19" s="350"/>
      <c r="E19" s="350"/>
      <c r="F19" s="350"/>
      <c r="G19" s="350"/>
      <c r="H19" s="350"/>
      <c r="I19" s="350"/>
      <c r="J19" s="350"/>
    </row>
    <row r="20" spans="2:10" x14ac:dyDescent="0.3">
      <c r="B20" s="350"/>
      <c r="C20" s="350"/>
      <c r="D20" s="350"/>
      <c r="E20" s="350"/>
      <c r="F20" s="350"/>
      <c r="G20" s="350"/>
      <c r="H20" s="350"/>
      <c r="I20" s="350"/>
      <c r="J20" s="350"/>
    </row>
    <row r="21" spans="2:10" x14ac:dyDescent="0.3">
      <c r="B21" s="350"/>
      <c r="C21" s="350"/>
      <c r="D21" s="350"/>
      <c r="E21" s="350"/>
      <c r="F21" s="350"/>
      <c r="G21" s="350"/>
      <c r="H21" s="350"/>
      <c r="I21" s="350"/>
      <c r="J21" s="350"/>
    </row>
    <row r="22" spans="2:10" x14ac:dyDescent="0.3">
      <c r="B22" s="350"/>
      <c r="C22" s="350"/>
      <c r="D22" s="350"/>
      <c r="E22" s="350"/>
      <c r="F22" s="350"/>
      <c r="G22" s="350"/>
      <c r="H22" s="350"/>
      <c r="I22" s="350"/>
      <c r="J22" s="350"/>
    </row>
    <row r="23" spans="2:10" x14ac:dyDescent="0.3">
      <c r="B23" s="350"/>
      <c r="C23" s="350"/>
      <c r="D23" s="350"/>
      <c r="E23" s="350"/>
      <c r="F23" s="350"/>
      <c r="G23" s="350"/>
      <c r="H23" s="350"/>
      <c r="I23" s="350"/>
      <c r="J23" s="350"/>
    </row>
    <row r="24" spans="2:10" x14ac:dyDescent="0.3">
      <c r="B24" s="350"/>
      <c r="C24" s="350"/>
      <c r="D24" s="350"/>
      <c r="E24" s="350"/>
      <c r="F24" s="350"/>
      <c r="G24" s="350"/>
      <c r="H24" s="350"/>
      <c r="I24" s="350"/>
      <c r="J24" s="350"/>
    </row>
  </sheetData>
  <mergeCells count="1">
    <mergeCell ref="B9:J24"/>
  </mergeCells>
  <pageMargins left="0.70866141732283472" right="0.70866141732283472" top="0.74803149606299213" bottom="0.74803149606299213" header="0.31496062992125984" footer="0.31496062992125984"/>
  <pageSetup paperSize="9" scale="8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39997558519241921"/>
  </sheetPr>
  <dimension ref="B9:J24"/>
  <sheetViews>
    <sheetView view="pageBreakPreview" zoomScale="60" zoomScaleNormal="100" workbookViewId="0">
      <selection activeCell="B9" sqref="B9:J24"/>
    </sheetView>
  </sheetViews>
  <sheetFormatPr defaultColWidth="9" defaultRowHeight="14.4" x14ac:dyDescent="0.3"/>
  <cols>
    <col min="1" max="16384" width="9" style="52"/>
  </cols>
  <sheetData>
    <row r="9" spans="2:10" x14ac:dyDescent="0.3">
      <c r="B9" s="351" t="s">
        <v>288</v>
      </c>
      <c r="C9" s="351"/>
      <c r="D9" s="351"/>
      <c r="E9" s="351"/>
      <c r="F9" s="351"/>
      <c r="G9" s="351"/>
      <c r="H9" s="351"/>
      <c r="I9" s="351"/>
      <c r="J9" s="351"/>
    </row>
    <row r="10" spans="2:10" x14ac:dyDescent="0.3">
      <c r="B10" s="351"/>
      <c r="C10" s="351"/>
      <c r="D10" s="351"/>
      <c r="E10" s="351"/>
      <c r="F10" s="351"/>
      <c r="G10" s="351"/>
      <c r="H10" s="351"/>
      <c r="I10" s="351"/>
      <c r="J10" s="351"/>
    </row>
    <row r="11" spans="2:10" x14ac:dyDescent="0.3">
      <c r="B11" s="351"/>
      <c r="C11" s="351"/>
      <c r="D11" s="351"/>
      <c r="E11" s="351"/>
      <c r="F11" s="351"/>
      <c r="G11" s="351"/>
      <c r="H11" s="351"/>
      <c r="I11" s="351"/>
      <c r="J11" s="351"/>
    </row>
    <row r="12" spans="2:10" x14ac:dyDescent="0.3">
      <c r="B12" s="351"/>
      <c r="C12" s="351"/>
      <c r="D12" s="351"/>
      <c r="E12" s="351"/>
      <c r="F12" s="351"/>
      <c r="G12" s="351"/>
      <c r="H12" s="351"/>
      <c r="I12" s="351"/>
      <c r="J12" s="351"/>
    </row>
    <row r="13" spans="2:10" x14ac:dyDescent="0.3">
      <c r="B13" s="351"/>
      <c r="C13" s="351"/>
      <c r="D13" s="351"/>
      <c r="E13" s="351"/>
      <c r="F13" s="351"/>
      <c r="G13" s="351"/>
      <c r="H13" s="351"/>
      <c r="I13" s="351"/>
      <c r="J13" s="351"/>
    </row>
    <row r="14" spans="2:10" x14ac:dyDescent="0.3">
      <c r="B14" s="351"/>
      <c r="C14" s="351"/>
      <c r="D14" s="351"/>
      <c r="E14" s="351"/>
      <c r="F14" s="351"/>
      <c r="G14" s="351"/>
      <c r="H14" s="351"/>
      <c r="I14" s="351"/>
      <c r="J14" s="351"/>
    </row>
    <row r="15" spans="2:10" x14ac:dyDescent="0.3">
      <c r="B15" s="351"/>
      <c r="C15" s="351"/>
      <c r="D15" s="351"/>
      <c r="E15" s="351"/>
      <c r="F15" s="351"/>
      <c r="G15" s="351"/>
      <c r="H15" s="351"/>
      <c r="I15" s="351"/>
      <c r="J15" s="351"/>
    </row>
    <row r="16" spans="2:10" x14ac:dyDescent="0.3">
      <c r="B16" s="351"/>
      <c r="C16" s="351"/>
      <c r="D16" s="351"/>
      <c r="E16" s="351"/>
      <c r="F16" s="351"/>
      <c r="G16" s="351"/>
      <c r="H16" s="351"/>
      <c r="I16" s="351"/>
      <c r="J16" s="351"/>
    </row>
    <row r="17" spans="2:10" x14ac:dyDescent="0.3">
      <c r="B17" s="351"/>
      <c r="C17" s="351"/>
      <c r="D17" s="351"/>
      <c r="E17" s="351"/>
      <c r="F17" s="351"/>
      <c r="G17" s="351"/>
      <c r="H17" s="351"/>
      <c r="I17" s="351"/>
      <c r="J17" s="351"/>
    </row>
    <row r="18" spans="2:10" x14ac:dyDescent="0.3">
      <c r="B18" s="351"/>
      <c r="C18" s="351"/>
      <c r="D18" s="351"/>
      <c r="E18" s="351"/>
      <c r="F18" s="351"/>
      <c r="G18" s="351"/>
      <c r="H18" s="351"/>
      <c r="I18" s="351"/>
      <c r="J18" s="351"/>
    </row>
    <row r="19" spans="2:10" x14ac:dyDescent="0.3">
      <c r="B19" s="351"/>
      <c r="C19" s="351"/>
      <c r="D19" s="351"/>
      <c r="E19" s="351"/>
      <c r="F19" s="351"/>
      <c r="G19" s="351"/>
      <c r="H19" s="351"/>
      <c r="I19" s="351"/>
      <c r="J19" s="351"/>
    </row>
    <row r="20" spans="2:10" x14ac:dyDescent="0.3">
      <c r="B20" s="351"/>
      <c r="C20" s="351"/>
      <c r="D20" s="351"/>
      <c r="E20" s="351"/>
      <c r="F20" s="351"/>
      <c r="G20" s="351"/>
      <c r="H20" s="351"/>
      <c r="I20" s="351"/>
      <c r="J20" s="351"/>
    </row>
    <row r="21" spans="2:10" x14ac:dyDescent="0.3">
      <c r="B21" s="351"/>
      <c r="C21" s="351"/>
      <c r="D21" s="351"/>
      <c r="E21" s="351"/>
      <c r="F21" s="351"/>
      <c r="G21" s="351"/>
      <c r="H21" s="351"/>
      <c r="I21" s="351"/>
      <c r="J21" s="351"/>
    </row>
    <row r="22" spans="2:10" x14ac:dyDescent="0.3">
      <c r="B22" s="351"/>
      <c r="C22" s="351"/>
      <c r="D22" s="351"/>
      <c r="E22" s="351"/>
      <c r="F22" s="351"/>
      <c r="G22" s="351"/>
      <c r="H22" s="351"/>
      <c r="I22" s="351"/>
      <c r="J22" s="351"/>
    </row>
    <row r="23" spans="2:10" x14ac:dyDescent="0.3">
      <c r="B23" s="351"/>
      <c r="C23" s="351"/>
      <c r="D23" s="351"/>
      <c r="E23" s="351"/>
      <c r="F23" s="351"/>
      <c r="G23" s="351"/>
      <c r="H23" s="351"/>
      <c r="I23" s="351"/>
      <c r="J23" s="351"/>
    </row>
    <row r="24" spans="2:10" x14ac:dyDescent="0.3">
      <c r="B24" s="351"/>
      <c r="C24" s="351"/>
      <c r="D24" s="351"/>
      <c r="E24" s="351"/>
      <c r="F24" s="351"/>
      <c r="G24" s="351"/>
      <c r="H24" s="351"/>
      <c r="I24" s="351"/>
      <c r="J24" s="351"/>
    </row>
  </sheetData>
  <mergeCells count="1">
    <mergeCell ref="B9:J24"/>
  </mergeCells>
  <pageMargins left="0.70866141732283472" right="0.70866141732283472" top="0.74803149606299213" bottom="0.74803149606299213" header="0.31496062992125984" footer="0.31496062992125984"/>
  <pageSetup paperSize="9" scale="80"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79998168889431442"/>
  </sheetPr>
  <dimension ref="A1:Z107"/>
  <sheetViews>
    <sheetView view="pageBreakPreview" zoomScale="85" zoomScaleNormal="100" zoomScaleSheetLayoutView="85" workbookViewId="0">
      <pane xSplit="1" ySplit="7" topLeftCell="B86" activePane="bottomRight" state="frozen"/>
      <selection pane="topRight" activeCell="B1" sqref="B1"/>
      <selection pane="bottomLeft" activeCell="A8" sqref="A8"/>
      <selection pane="bottomRight" activeCell="P35" sqref="P35"/>
    </sheetView>
  </sheetViews>
  <sheetFormatPr defaultColWidth="8.88671875" defaultRowHeight="14.4" x14ac:dyDescent="0.3"/>
  <cols>
    <col min="1" max="1" width="47.6640625" style="13" bestFit="1" customWidth="1"/>
    <col min="2" max="2" width="11.44140625" style="13" customWidth="1"/>
    <col min="3" max="3" width="11.109375" style="13" customWidth="1"/>
    <col min="4" max="4" width="10.6640625" style="13" customWidth="1"/>
    <col min="5" max="5" width="11.33203125" style="13" customWidth="1"/>
    <col min="6" max="6" width="11.44140625" style="13" customWidth="1"/>
    <col min="7" max="7" width="11.33203125" style="13" customWidth="1"/>
    <col min="8" max="13" width="10.44140625" style="13" customWidth="1"/>
    <col min="14" max="16384" width="8.88671875" style="13"/>
  </cols>
  <sheetData>
    <row r="1" spans="1:26" ht="28.8" x14ac:dyDescent="0.55000000000000004">
      <c r="A1" s="349" t="str">
        <f>(Inputs!$E$9 &amp; " - Income Statement (Reported)")</f>
        <v>Air Canada - Income Statement (Reported)</v>
      </c>
      <c r="B1" s="349"/>
      <c r="C1" s="349"/>
      <c r="D1" s="349"/>
      <c r="E1" s="349"/>
      <c r="F1" s="349"/>
      <c r="G1" s="349"/>
      <c r="H1" s="349"/>
      <c r="I1" s="349"/>
      <c r="J1" s="349"/>
      <c r="K1" s="349"/>
      <c r="L1" s="349"/>
      <c r="M1" s="349"/>
    </row>
    <row r="2" spans="1:26" x14ac:dyDescent="0.3">
      <c r="A2" s="3"/>
      <c r="B2" s="3" t="s">
        <v>11</v>
      </c>
      <c r="C2" s="3" t="s">
        <v>11</v>
      </c>
      <c r="D2" s="3" t="s">
        <v>11</v>
      </c>
      <c r="E2" s="3" t="s">
        <v>11</v>
      </c>
      <c r="F2" s="3" t="s">
        <v>11</v>
      </c>
      <c r="G2" s="3" t="s">
        <v>11</v>
      </c>
      <c r="H2" s="3" t="s">
        <v>11</v>
      </c>
      <c r="I2" s="3" t="s">
        <v>11</v>
      </c>
      <c r="J2" s="3" t="s">
        <v>11</v>
      </c>
      <c r="K2" s="3" t="s">
        <v>11</v>
      </c>
      <c r="L2" s="3" t="s">
        <v>11</v>
      </c>
      <c r="M2" s="3" t="s">
        <v>268</v>
      </c>
      <c r="N2" s="16"/>
      <c r="O2" s="16"/>
      <c r="P2" s="16"/>
      <c r="Q2" s="16"/>
      <c r="R2" s="16"/>
      <c r="S2" s="16"/>
      <c r="T2" s="16"/>
      <c r="U2" s="16"/>
      <c r="V2" s="16"/>
      <c r="W2" s="16"/>
      <c r="X2" s="16"/>
      <c r="Y2" s="16"/>
      <c r="Z2" s="16"/>
    </row>
    <row r="3" spans="1:26" x14ac:dyDescent="0.3">
      <c r="A3" s="3"/>
      <c r="B3" s="7">
        <f>'Annual Operational Data'!B3</f>
        <v>40543</v>
      </c>
      <c r="C3" s="7">
        <f>'Annual Operational Data'!C3</f>
        <v>40908</v>
      </c>
      <c r="D3" s="7">
        <f>'Annual Operational Data'!D3</f>
        <v>41274</v>
      </c>
      <c r="E3" s="7">
        <f>'Annual Operational Data'!E3</f>
        <v>41639</v>
      </c>
      <c r="F3" s="7">
        <f>'Annual Operational Data'!F3</f>
        <v>42004</v>
      </c>
      <c r="G3" s="7">
        <f>'Annual Operational Data'!G3</f>
        <v>42369</v>
      </c>
      <c r="H3" s="7">
        <f>'Annual Operational Data'!H3</f>
        <v>42735</v>
      </c>
      <c r="I3" s="7">
        <f>'Annual Operational Data'!I3</f>
        <v>43100</v>
      </c>
      <c r="J3" s="7">
        <f>'Annual Operational Data'!J3</f>
        <v>43465</v>
      </c>
      <c r="K3" s="7">
        <f>'Annual Operational Data'!K3</f>
        <v>43830</v>
      </c>
      <c r="L3" s="7">
        <f>'Annual Operational Data'!L3</f>
        <v>44196</v>
      </c>
      <c r="M3" s="7">
        <f>'Annual Operational Data'!M3</f>
        <v>44469</v>
      </c>
      <c r="N3" s="16"/>
      <c r="O3" s="16"/>
      <c r="P3" s="16"/>
      <c r="Q3" s="16"/>
      <c r="R3" s="16"/>
      <c r="S3" s="16"/>
      <c r="T3" s="16"/>
      <c r="U3" s="16"/>
      <c r="V3" s="16"/>
      <c r="W3" s="16"/>
      <c r="X3" s="16"/>
      <c r="Y3" s="16"/>
      <c r="Z3" s="16"/>
    </row>
    <row r="4" spans="1:26" x14ac:dyDescent="0.3">
      <c r="A4" s="3"/>
      <c r="B4" s="3" t="s">
        <v>1</v>
      </c>
      <c r="C4" s="3" t="s">
        <v>1</v>
      </c>
      <c r="D4" s="3" t="s">
        <v>1</v>
      </c>
      <c r="E4" s="3" t="s">
        <v>1</v>
      </c>
      <c r="F4" s="3" t="s">
        <v>1</v>
      </c>
      <c r="G4" s="3" t="s">
        <v>1</v>
      </c>
      <c r="H4" s="3" t="s">
        <v>1</v>
      </c>
      <c r="I4" s="3" t="s">
        <v>1</v>
      </c>
      <c r="J4" s="3" t="s">
        <v>1</v>
      </c>
      <c r="K4" s="3" t="s">
        <v>1</v>
      </c>
      <c r="L4" s="3" t="s">
        <v>1</v>
      </c>
      <c r="M4" s="3" t="s">
        <v>1</v>
      </c>
      <c r="N4" s="16"/>
      <c r="O4" s="16"/>
      <c r="P4" s="16"/>
      <c r="Q4" s="16"/>
      <c r="R4" s="16"/>
      <c r="S4" s="16"/>
      <c r="T4" s="16"/>
      <c r="U4" s="16"/>
      <c r="V4" s="16"/>
      <c r="W4" s="16"/>
      <c r="X4" s="16"/>
      <c r="Y4" s="16"/>
      <c r="Z4" s="16"/>
    </row>
    <row r="5" spans="1:26" x14ac:dyDescent="0.3">
      <c r="A5" s="3"/>
      <c r="B5" s="3" t="str">
        <f>Inputs!$E$18 &amp; "m"</f>
        <v>CADm</v>
      </c>
      <c r="C5" s="3" t="str">
        <f>Inputs!$E$18 &amp; "m"</f>
        <v>CADm</v>
      </c>
      <c r="D5" s="3" t="str">
        <f>Inputs!$E$18 &amp; "m"</f>
        <v>CADm</v>
      </c>
      <c r="E5" s="3" t="str">
        <f>Inputs!$E$18 &amp; "m"</f>
        <v>CADm</v>
      </c>
      <c r="F5" s="3" t="str">
        <f>Inputs!$E$18 &amp; "m"</f>
        <v>CADm</v>
      </c>
      <c r="G5" s="3" t="str">
        <f>Inputs!$E$18 &amp; "m"</f>
        <v>CADm</v>
      </c>
      <c r="H5" s="3" t="str">
        <f>Inputs!$E$18 &amp; "m"</f>
        <v>CADm</v>
      </c>
      <c r="I5" s="3" t="str">
        <f>Inputs!$E$18 &amp; "m"</f>
        <v>CADm</v>
      </c>
      <c r="J5" s="3" t="str">
        <f>Inputs!$E$18 &amp; "m"</f>
        <v>CADm</v>
      </c>
      <c r="K5" s="3" t="str">
        <f>Inputs!$E$18 &amp; "m"</f>
        <v>CADm</v>
      </c>
      <c r="L5" s="3" t="str">
        <f>Inputs!$E$18 &amp; "m"</f>
        <v>CADm</v>
      </c>
      <c r="M5" s="3" t="str">
        <f>Inputs!$E$18 &amp; "m"</f>
        <v>CADm</v>
      </c>
      <c r="N5" s="16"/>
      <c r="O5" s="16"/>
      <c r="P5" s="16"/>
      <c r="Q5" s="16"/>
      <c r="R5" s="16"/>
      <c r="S5" s="16"/>
      <c r="T5" s="16"/>
      <c r="U5" s="16"/>
      <c r="V5" s="16"/>
      <c r="W5" s="16"/>
      <c r="X5" s="16"/>
      <c r="Y5" s="16"/>
      <c r="Z5" s="16"/>
    </row>
    <row r="6" spans="1:26" x14ac:dyDescent="0.3">
      <c r="A6" s="3"/>
      <c r="B6" s="3"/>
      <c r="C6" s="3"/>
      <c r="D6" s="3"/>
      <c r="E6" s="3"/>
      <c r="F6" s="3"/>
      <c r="G6" s="3"/>
      <c r="H6" s="3"/>
      <c r="I6" s="3"/>
      <c r="J6" s="3" t="s">
        <v>626</v>
      </c>
      <c r="K6" s="3"/>
      <c r="L6" s="3"/>
      <c r="M6" s="3"/>
      <c r="N6" s="16"/>
      <c r="O6" s="16"/>
      <c r="P6" s="16"/>
      <c r="Q6" s="16"/>
      <c r="R6" s="16"/>
      <c r="S6" s="16"/>
      <c r="T6" s="16"/>
      <c r="U6" s="16"/>
      <c r="V6" s="16"/>
      <c r="W6" s="16"/>
      <c r="X6" s="16"/>
      <c r="Y6" s="16"/>
      <c r="Z6" s="16"/>
    </row>
    <row r="7" spans="1:26" x14ac:dyDescent="0.3">
      <c r="A7" s="3"/>
      <c r="B7" s="20"/>
      <c r="C7" s="20"/>
      <c r="D7" s="20"/>
      <c r="E7" s="20"/>
      <c r="F7" s="20"/>
      <c r="G7" s="20"/>
      <c r="H7" s="20"/>
      <c r="I7" s="20"/>
      <c r="J7" s="20"/>
      <c r="K7" s="20"/>
      <c r="L7" s="20"/>
      <c r="M7" s="20"/>
      <c r="N7" s="16"/>
      <c r="O7" s="16"/>
      <c r="P7" s="16"/>
      <c r="Q7" s="16"/>
      <c r="R7" s="16"/>
      <c r="S7" s="16"/>
      <c r="T7" s="16"/>
      <c r="U7" s="16"/>
      <c r="V7" s="16"/>
      <c r="W7" s="16"/>
      <c r="X7" s="16"/>
      <c r="Y7" s="16"/>
      <c r="Z7" s="16"/>
    </row>
    <row r="8" spans="1:26" x14ac:dyDescent="0.3">
      <c r="A8" s="31" t="s">
        <v>615</v>
      </c>
      <c r="B8" s="32">
        <v>9427</v>
      </c>
      <c r="C8" s="32">
        <v>10208</v>
      </c>
      <c r="D8" s="32">
        <v>10737</v>
      </c>
      <c r="E8" s="32">
        <v>11021</v>
      </c>
      <c r="F8" s="32">
        <v>11804</v>
      </c>
      <c r="G8" s="32">
        <v>12420</v>
      </c>
      <c r="H8" s="32">
        <v>13148</v>
      </c>
      <c r="I8" s="32">
        <v>14471</v>
      </c>
      <c r="J8" s="32">
        <v>16161</v>
      </c>
      <c r="K8" s="32">
        <v>17232</v>
      </c>
      <c r="L8" s="32">
        <v>4382</v>
      </c>
      <c r="M8" s="58">
        <f>SUMIFS('Interim Inc Statement Reported'!$B8:$XFD8,'Interim Inc Statement Reported'!$B$3:$XFD$3, "&lt;="&amp;'Annual Inc Statement Reported'!M$3, 'Interim Inc Statement Reported'!$B$3:$XFD$3, "&gt;="&amp;('Annual Inc Statement Reported'!M$3-364))</f>
        <v>2932</v>
      </c>
    </row>
    <row r="9" spans="1:26" x14ac:dyDescent="0.3">
      <c r="A9" s="85" t="s">
        <v>614</v>
      </c>
      <c r="B9" s="32"/>
      <c r="C9" s="32"/>
      <c r="D9" s="32"/>
      <c r="E9" s="32"/>
      <c r="F9" s="32"/>
      <c r="G9" s="32"/>
      <c r="H9" s="32"/>
      <c r="I9" s="32"/>
      <c r="J9" s="32"/>
      <c r="K9" s="32"/>
      <c r="L9" s="32"/>
      <c r="M9" s="58">
        <f>SUMIFS('Interim Inc Statement Reported'!$B9:$XFD9,'Interim Inc Statement Reported'!$B$3:$XFD$3, "&lt;="&amp;'Annual Inc Statement Reported'!M$3, 'Interim Inc Statement Reported'!$B$3:$XFD$3, "&gt;="&amp;('Annual Inc Statement Reported'!M$3-364))</f>
        <v>0</v>
      </c>
    </row>
    <row r="10" spans="1:26" x14ac:dyDescent="0.3">
      <c r="A10" s="31" t="s">
        <v>12</v>
      </c>
      <c r="B10" s="32">
        <v>466</v>
      </c>
      <c r="C10" s="32">
        <v>481</v>
      </c>
      <c r="D10" s="32">
        <v>488</v>
      </c>
      <c r="E10" s="32">
        <v>474</v>
      </c>
      <c r="F10" s="32">
        <v>502</v>
      </c>
      <c r="G10" s="32">
        <v>506</v>
      </c>
      <c r="H10" s="32">
        <v>512</v>
      </c>
      <c r="I10" s="32">
        <v>650</v>
      </c>
      <c r="J10" s="32">
        <v>803</v>
      </c>
      <c r="K10" s="32">
        <v>717</v>
      </c>
      <c r="L10" s="32">
        <v>920</v>
      </c>
      <c r="M10" s="58">
        <f>SUMIFS('Interim Inc Statement Reported'!$B10:$XFD10,'Interim Inc Statement Reported'!$B$3:$XFD$3, "&lt;="&amp;'Annual Inc Statement Reported'!M$3, 'Interim Inc Statement Reported'!$B$3:$XFD$3, "&gt;="&amp;('Annual Inc Statement Reported'!M$3-364))</f>
        <v>1291</v>
      </c>
    </row>
    <row r="11" spans="1:26" x14ac:dyDescent="0.3">
      <c r="A11" s="31" t="s">
        <v>13</v>
      </c>
      <c r="B11" s="32">
        <v>893</v>
      </c>
      <c r="C11" s="32">
        <v>923</v>
      </c>
      <c r="D11" s="32">
        <v>895</v>
      </c>
      <c r="E11" s="32">
        <v>887</v>
      </c>
      <c r="F11" s="32">
        <v>966</v>
      </c>
      <c r="G11" s="32">
        <v>942</v>
      </c>
      <c r="H11" s="32">
        <v>1017</v>
      </c>
      <c r="I11" s="32">
        <v>1131</v>
      </c>
      <c r="J11" s="32">
        <v>1039</v>
      </c>
      <c r="K11" s="32">
        <v>1182</v>
      </c>
      <c r="L11" s="32">
        <v>531</v>
      </c>
      <c r="M11" s="58">
        <f>SUMIFS('Interim Inc Statement Reported'!$B11:$XFD11,'Interim Inc Statement Reported'!$B$3:$XFD$3, "&lt;="&amp;'Annual Inc Statement Reported'!M$3, 'Interim Inc Statement Reported'!$B$3:$XFD$3, "&gt;="&amp;('Annual Inc Statement Reported'!M$3-364))</f>
        <v>273</v>
      </c>
    </row>
    <row r="12" spans="1:26" x14ac:dyDescent="0.3">
      <c r="A12" s="48" t="s">
        <v>5</v>
      </c>
      <c r="B12" s="49">
        <f t="shared" ref="B12:M12" si="0">B10+B11</f>
        <v>1359</v>
      </c>
      <c r="C12" s="49">
        <f t="shared" si="0"/>
        <v>1404</v>
      </c>
      <c r="D12" s="49">
        <f t="shared" si="0"/>
        <v>1383</v>
      </c>
      <c r="E12" s="49">
        <f t="shared" si="0"/>
        <v>1361</v>
      </c>
      <c r="F12" s="49">
        <f t="shared" si="0"/>
        <v>1468</v>
      </c>
      <c r="G12" s="49">
        <f t="shared" si="0"/>
        <v>1448</v>
      </c>
      <c r="H12" s="49">
        <f t="shared" si="0"/>
        <v>1529</v>
      </c>
      <c r="I12" s="49">
        <f t="shared" ref="I12:J12" si="1">I10+I11</f>
        <v>1781</v>
      </c>
      <c r="J12" s="49">
        <f t="shared" si="1"/>
        <v>1842</v>
      </c>
      <c r="K12" s="49">
        <f t="shared" ref="K12:L12" si="2">K10+K11</f>
        <v>1899</v>
      </c>
      <c r="L12" s="49">
        <f t="shared" si="2"/>
        <v>1451</v>
      </c>
      <c r="M12" s="73">
        <f t="shared" si="0"/>
        <v>1564</v>
      </c>
    </row>
    <row r="13" spans="1:26" x14ac:dyDescent="0.3">
      <c r="A13" s="14" t="s">
        <v>14</v>
      </c>
      <c r="B13" s="22">
        <f t="shared" ref="B13:M13" si="3">SUM(B8:B11)</f>
        <v>10786</v>
      </c>
      <c r="C13" s="22">
        <f t="shared" si="3"/>
        <v>11612</v>
      </c>
      <c r="D13" s="22">
        <f t="shared" si="3"/>
        <v>12120</v>
      </c>
      <c r="E13" s="22">
        <f t="shared" si="3"/>
        <v>12382</v>
      </c>
      <c r="F13" s="22">
        <f t="shared" si="3"/>
        <v>13272</v>
      </c>
      <c r="G13" s="22">
        <f t="shared" si="3"/>
        <v>13868</v>
      </c>
      <c r="H13" s="22">
        <f t="shared" si="3"/>
        <v>14677</v>
      </c>
      <c r="I13" s="22">
        <f t="shared" ref="I13:J13" si="4">SUM(I8:I11)</f>
        <v>16252</v>
      </c>
      <c r="J13" s="22">
        <f t="shared" si="4"/>
        <v>18003</v>
      </c>
      <c r="K13" s="22">
        <f t="shared" ref="K13:L13" si="5">SUM(K8:K11)</f>
        <v>19131</v>
      </c>
      <c r="L13" s="22">
        <f t="shared" si="5"/>
        <v>5833</v>
      </c>
      <c r="M13" s="74">
        <f t="shared" si="3"/>
        <v>4496</v>
      </c>
      <c r="N13" s="221"/>
    </row>
    <row r="14" spans="1:26" x14ac:dyDescent="0.3">
      <c r="A14" s="31" t="s">
        <v>0</v>
      </c>
      <c r="B14" s="2"/>
      <c r="C14" s="2">
        <f>IFERROR(C13/B13,0)-1</f>
        <v>7.6580752827739573E-2</v>
      </c>
      <c r="D14" s="2">
        <f t="shared" ref="D14:H14" si="6">IFERROR(D13/C13,0)-1</f>
        <v>4.3747847054770972E-2</v>
      </c>
      <c r="E14" s="2">
        <f t="shared" si="6"/>
        <v>2.1617161716171562E-2</v>
      </c>
      <c r="F14" s="2">
        <f t="shared" si="6"/>
        <v>7.1878533354869933E-2</v>
      </c>
      <c r="G14" s="2">
        <f t="shared" si="6"/>
        <v>4.4906570223026021E-2</v>
      </c>
      <c r="H14" s="2">
        <f t="shared" si="6"/>
        <v>5.8335736948370354E-2</v>
      </c>
      <c r="I14" s="2">
        <f t="shared" ref="I14" si="7">IFERROR(I13/H13,0)-1</f>
        <v>0.10731075832935888</v>
      </c>
      <c r="J14" s="2">
        <f t="shared" ref="J14:L14" si="8">IFERROR(J13/I13,0)-1</f>
        <v>0.10774058577405854</v>
      </c>
      <c r="K14" s="2">
        <f t="shared" si="8"/>
        <v>6.2656223962672897E-2</v>
      </c>
      <c r="L14" s="2">
        <f t="shared" si="8"/>
        <v>-0.69510219016256336</v>
      </c>
      <c r="M14" s="71">
        <f>IFERROR(M13/L13,0)-1</f>
        <v>-0.22921309789130806</v>
      </c>
    </row>
    <row r="15" spans="1:26" x14ac:dyDescent="0.3">
      <c r="A15" s="31" t="s">
        <v>15</v>
      </c>
      <c r="B15" s="32">
        <v>-1885</v>
      </c>
      <c r="C15" s="32">
        <v>-1991</v>
      </c>
      <c r="D15" s="32">
        <f>-2109+124</f>
        <v>-1985</v>
      </c>
      <c r="E15" s="32">
        <f>-2247+82</f>
        <v>-2165</v>
      </c>
      <c r="F15" s="32">
        <v>-2282</v>
      </c>
      <c r="G15" s="32">
        <v>-2324</v>
      </c>
      <c r="H15" s="32">
        <v>-2510</v>
      </c>
      <c r="I15" s="32">
        <v>-2671</v>
      </c>
      <c r="J15" s="32">
        <v>-2873</v>
      </c>
      <c r="K15" s="32">
        <v>-3184</v>
      </c>
      <c r="L15" s="32">
        <f>-2242-127+554</f>
        <v>-1815</v>
      </c>
      <c r="M15" s="58">
        <f>SUMIFS('Interim Inc Statement Reported'!$B15:$XFD15,'Interim Inc Statement Reported'!$B$3:$XFD$3, "&lt;="&amp;'Annual Inc Statement Reported'!M$3, 'Interim Inc Statement Reported'!$B$3:$XFD$3, "&gt;="&amp;('Annual Inc Statement Reported'!M$3-364))</f>
        <v>-1791</v>
      </c>
    </row>
    <row r="16" spans="1:26" x14ac:dyDescent="0.3">
      <c r="A16" s="31" t="s">
        <v>16</v>
      </c>
      <c r="B16" s="32">
        <v>-2652</v>
      </c>
      <c r="C16" s="32">
        <v>-3375</v>
      </c>
      <c r="D16" s="32">
        <v>-3561</v>
      </c>
      <c r="E16" s="32">
        <v>-3534</v>
      </c>
      <c r="F16" s="32">
        <v>-3747</v>
      </c>
      <c r="G16" s="32">
        <v>-2464</v>
      </c>
      <c r="H16" s="32">
        <v>-2279</v>
      </c>
      <c r="I16" s="32">
        <v>-2927</v>
      </c>
      <c r="J16" s="32">
        <v>-3969</v>
      </c>
      <c r="K16" s="32">
        <v>-3862</v>
      </c>
      <c r="L16" s="32">
        <v>-1322</v>
      </c>
      <c r="M16" s="58">
        <f>SUMIFS('Interim Inc Statement Reported'!$B16:$XFD16,'Interim Inc Statement Reported'!$B$3:$XFD$3, "&lt;="&amp;'Annual Inc Statement Reported'!M$3, 'Interim Inc Statement Reported'!$B$3:$XFD$3, "&gt;="&amp;('Annual Inc Statement Reported'!M$3-364))</f>
        <v>-1098</v>
      </c>
    </row>
    <row r="17" spans="1:13" x14ac:dyDescent="0.3">
      <c r="A17" s="31" t="s">
        <v>17</v>
      </c>
      <c r="B17" s="32">
        <f>-677</f>
        <v>-677</v>
      </c>
      <c r="C17" s="32">
        <f>-681</f>
        <v>-681</v>
      </c>
      <c r="D17" s="32">
        <f>-672</f>
        <v>-672</v>
      </c>
      <c r="E17" s="32">
        <f>-632</f>
        <v>-632</v>
      </c>
      <c r="F17" s="32">
        <f>-728</f>
        <v>-728</v>
      </c>
      <c r="G17" s="32">
        <f>-773</f>
        <v>-773</v>
      </c>
      <c r="H17" s="32">
        <f>-880</f>
        <v>-880</v>
      </c>
      <c r="I17" s="32">
        <v>-938</v>
      </c>
      <c r="J17" s="32">
        <v>-903</v>
      </c>
      <c r="K17" s="32">
        <f>-1004</f>
        <v>-1004</v>
      </c>
      <c r="L17" s="32">
        <f>-681</f>
        <v>-681</v>
      </c>
      <c r="M17" s="58">
        <f>SUMIFS('Interim Inc Statement Reported'!$B17:$XFD17,'Interim Inc Statement Reported'!$B$3:$XFD$3, "&lt;="&amp;'Annual Inc Statement Reported'!M$3, 'Interim Inc Statement Reported'!$B$3:$XFD$3, "&gt;="&amp;('Annual Inc Statement Reported'!M$3-364))</f>
        <v>-615</v>
      </c>
    </row>
    <row r="18" spans="1:13" x14ac:dyDescent="0.3">
      <c r="A18" s="31" t="s">
        <v>18</v>
      </c>
      <c r="B18" s="32">
        <f>-961-280-316</f>
        <v>-1557</v>
      </c>
      <c r="C18" s="32">
        <f>-1007-278-193</f>
        <v>-1478</v>
      </c>
      <c r="D18" s="32">
        <f>-992-188-291</f>
        <v>-1471</v>
      </c>
      <c r="E18" s="32">
        <f>-983-327-289</f>
        <v>-1599</v>
      </c>
      <c r="F18" s="32">
        <f>-1031-377-309</f>
        <v>-1717</v>
      </c>
      <c r="G18" s="32">
        <f>-802-415-314</f>
        <v>-1531</v>
      </c>
      <c r="H18" s="32">
        <f>-859-489-349</f>
        <v>-1697</v>
      </c>
      <c r="I18" s="32">
        <f>-905-538-383</f>
        <v>-1826</v>
      </c>
      <c r="J18" s="32">
        <f>-964-602-433</f>
        <v>-1999</v>
      </c>
      <c r="K18" s="32">
        <f>-990-627-445</f>
        <v>-2062</v>
      </c>
      <c r="L18" s="32">
        <f>-545-250-171</f>
        <v>-966</v>
      </c>
      <c r="M18" s="58">
        <f>SUMIFS('Interim Inc Statement Reported'!$B18:$XFD18,'Interim Inc Statement Reported'!$B$3:$XFD$3, "&lt;="&amp;'Annual Inc Statement Reported'!M$3, 'Interim Inc Statement Reported'!$B$3:$XFD$3, "&gt;="&amp;('Annual Inc Statement Reported'!M$3-364))</f>
        <v>-508</v>
      </c>
    </row>
    <row r="19" spans="1:13" x14ac:dyDescent="0.3">
      <c r="A19" s="31" t="s">
        <v>19</v>
      </c>
      <c r="B19" s="36">
        <v>-259</v>
      </c>
      <c r="C19" s="36">
        <v>-612</v>
      </c>
      <c r="D19" s="36">
        <v>-603</v>
      </c>
      <c r="E19" s="36">
        <v>-613</v>
      </c>
      <c r="F19" s="36">
        <v>-672</v>
      </c>
      <c r="G19" s="36">
        <v>-608</v>
      </c>
      <c r="H19" s="36">
        <v>-703</v>
      </c>
      <c r="I19" s="36">
        <v>-777</v>
      </c>
      <c r="J19" s="36">
        <v>-807</v>
      </c>
      <c r="K19" s="36">
        <v>-874</v>
      </c>
      <c r="L19" s="36">
        <f>-252</f>
        <v>-252</v>
      </c>
      <c r="M19" s="60">
        <f>SUMIFS('Interim Inc Statement Reported'!$B19:$XFD19,'Interim Inc Statement Reported'!$B$3:$XFD$3, "&lt;="&amp;'Annual Inc Statement Reported'!M$3, 'Interim Inc Statement Reported'!$B$3:$XFD$3, "&gt;="&amp;('Annual Inc Statement Reported'!M$3-364))</f>
        <v>-168</v>
      </c>
    </row>
    <row r="20" spans="1:13" x14ac:dyDescent="0.3">
      <c r="A20" s="31" t="s">
        <v>20</v>
      </c>
      <c r="B20" s="21">
        <f t="shared" ref="B20:M20" si="9">SUM(B21:B23)</f>
        <v>-2370</v>
      </c>
      <c r="C20" s="21">
        <f t="shared" si="9"/>
        <v>-2233</v>
      </c>
      <c r="D20" s="21">
        <f t="shared" si="9"/>
        <v>-2377</v>
      </c>
      <c r="E20" s="21">
        <f t="shared" si="9"/>
        <v>-2324</v>
      </c>
      <c r="F20" s="21">
        <f t="shared" si="9"/>
        <v>-2455</v>
      </c>
      <c r="G20" s="21">
        <f t="shared" si="9"/>
        <v>-3656</v>
      </c>
      <c r="H20" s="21">
        <f t="shared" si="9"/>
        <v>-3894</v>
      </c>
      <c r="I20" s="21">
        <f t="shared" ref="I20:K20" si="10">SUM(I21:I23)</f>
        <v>-4260</v>
      </c>
      <c r="J20" s="21">
        <f t="shared" si="10"/>
        <v>-4239</v>
      </c>
      <c r="K20" s="21">
        <f t="shared" si="10"/>
        <v>-4509</v>
      </c>
      <c r="L20" s="21">
        <f t="shared" ref="L20" si="11">SUM(L21:L23)</f>
        <v>-2413</v>
      </c>
      <c r="M20" s="58">
        <f t="shared" si="9"/>
        <v>-2211</v>
      </c>
    </row>
    <row r="21" spans="1:13" x14ac:dyDescent="0.3">
      <c r="A21" s="31" t="s">
        <v>21</v>
      </c>
      <c r="B21" s="32"/>
      <c r="C21" s="32"/>
      <c r="D21" s="32"/>
      <c r="E21" s="32"/>
      <c r="F21" s="32"/>
      <c r="G21" s="317"/>
      <c r="H21" s="32"/>
      <c r="I21" s="32"/>
      <c r="J21" s="32"/>
      <c r="K21" s="32"/>
      <c r="L21" s="32"/>
      <c r="M21" s="58">
        <f>SUMIFS('Interim Inc Statement Reported'!$B21:$XFD21,'Interim Inc Statement Reported'!$B$3:$XFD$3, "&lt;="&amp;'Annual Inc Statement Reported'!M$3, 'Interim Inc Statement Reported'!$B$3:$XFD$3, "&gt;="&amp;('Annual Inc Statement Reported'!M$3-364))</f>
        <v>0</v>
      </c>
    </row>
    <row r="22" spans="1:13" x14ac:dyDescent="0.3">
      <c r="A22" s="31" t="s">
        <v>22</v>
      </c>
      <c r="B22" s="32">
        <v>-934</v>
      </c>
      <c r="C22" s="32">
        <v>-1003</v>
      </c>
      <c r="D22" s="32">
        <v>-1072</v>
      </c>
      <c r="E22" s="32">
        <v>-1123</v>
      </c>
      <c r="F22" s="32">
        <v>-1182</v>
      </c>
      <c r="G22" s="32">
        <v>-2279</v>
      </c>
      <c r="H22" s="32">
        <v>-2408</v>
      </c>
      <c r="I22" s="32">
        <v>-2617</v>
      </c>
      <c r="J22" s="32">
        <v>-2508</v>
      </c>
      <c r="K22" s="32">
        <v>-2441</v>
      </c>
      <c r="L22" s="32">
        <v>-1086</v>
      </c>
      <c r="M22" s="58">
        <f>SUMIFS('Interim Inc Statement Reported'!$B22:$XFD22,'Interim Inc Statement Reported'!$B$3:$XFD$3, "&lt;="&amp;'Annual Inc Statement Reported'!M$3, 'Interim Inc Statement Reported'!$B$3:$XFD$3, "&gt;="&amp;('Annual Inc Statement Reported'!M$3-364))</f>
        <v>-945</v>
      </c>
    </row>
    <row r="23" spans="1:13" x14ac:dyDescent="0.3">
      <c r="A23" s="31" t="s">
        <v>23</v>
      </c>
      <c r="B23" s="36">
        <f>-1436</f>
        <v>-1436</v>
      </c>
      <c r="C23" s="36">
        <f>-1230</f>
        <v>-1230</v>
      </c>
      <c r="D23" s="36">
        <f>-1305</f>
        <v>-1305</v>
      </c>
      <c r="E23" s="36">
        <f>-1011-190</f>
        <v>-1201</v>
      </c>
      <c r="F23" s="36">
        <f>-1069-204</f>
        <v>-1273</v>
      </c>
      <c r="G23" s="36">
        <f>-1166-211</f>
        <v>-1377</v>
      </c>
      <c r="H23" s="36">
        <f>-1244-242</f>
        <v>-1486</v>
      </c>
      <c r="I23" s="36">
        <f>-1389-254</f>
        <v>-1643</v>
      </c>
      <c r="J23" s="36">
        <f>-1437-294</f>
        <v>-1731</v>
      </c>
      <c r="K23" s="36">
        <f>-1671-397</f>
        <v>-2068</v>
      </c>
      <c r="L23" s="36">
        <f>-372-955</f>
        <v>-1327</v>
      </c>
      <c r="M23" s="60">
        <f>SUMIFS('Interim Inc Statement Reported'!$B23:$XFD23,'Interim Inc Statement Reported'!$B$3:$XFD$3, "&lt;="&amp;'Annual Inc Statement Reported'!M$3, 'Interim Inc Statement Reported'!$B$3:$XFD$3, "&gt;="&amp;('Annual Inc Statement Reported'!M$3-364))</f>
        <v>-1266</v>
      </c>
    </row>
    <row r="24" spans="1:13" x14ac:dyDescent="0.3">
      <c r="A24" s="14" t="s">
        <v>24</v>
      </c>
      <c r="B24" s="22">
        <f t="shared" ref="B24:G24" si="12">SUM(B15:B20)</f>
        <v>-9400</v>
      </c>
      <c r="C24" s="22">
        <f t="shared" si="12"/>
        <v>-10370</v>
      </c>
      <c r="D24" s="22">
        <f t="shared" si="12"/>
        <v>-10669</v>
      </c>
      <c r="E24" s="22">
        <f t="shared" si="12"/>
        <v>-10867</v>
      </c>
      <c r="F24" s="22">
        <f t="shared" si="12"/>
        <v>-11601</v>
      </c>
      <c r="G24" s="22">
        <f t="shared" si="12"/>
        <v>-11356</v>
      </c>
      <c r="H24" s="22">
        <f>SUM(H15:H20)</f>
        <v>-11963</v>
      </c>
      <c r="I24" s="22">
        <f t="shared" ref="I24:J24" si="13">SUM(I15:I20)</f>
        <v>-13399</v>
      </c>
      <c r="J24" s="22">
        <f t="shared" si="13"/>
        <v>-14790</v>
      </c>
      <c r="K24" s="22">
        <f t="shared" ref="K24:L24" si="14">SUM(K15:K20)</f>
        <v>-15495</v>
      </c>
      <c r="L24" s="22">
        <f t="shared" si="14"/>
        <v>-7449</v>
      </c>
      <c r="M24" s="74">
        <f>SUM(M15:M20)</f>
        <v>-6391</v>
      </c>
    </row>
    <row r="25" spans="1:13" x14ac:dyDescent="0.3">
      <c r="A25" s="31" t="s">
        <v>0</v>
      </c>
      <c r="B25" s="50"/>
      <c r="C25" s="50">
        <f t="shared" ref="C25:H25" si="15">IFERROR(C24/B24,0)-1</f>
        <v>0.10319148936170208</v>
      </c>
      <c r="D25" s="50">
        <f t="shared" si="15"/>
        <v>2.8833172613307534E-2</v>
      </c>
      <c r="E25" s="50">
        <f t="shared" si="15"/>
        <v>1.8558440341175375E-2</v>
      </c>
      <c r="F25" s="50">
        <f t="shared" si="15"/>
        <v>6.7543940369927391E-2</v>
      </c>
      <c r="G25" s="50">
        <f t="shared" si="15"/>
        <v>-2.1118869063011858E-2</v>
      </c>
      <c r="H25" s="50">
        <f t="shared" si="15"/>
        <v>5.3451919690031602E-2</v>
      </c>
      <c r="I25" s="50">
        <f t="shared" ref="I25" si="16">IFERROR(I24/H24,0)-1</f>
        <v>0.12003678007188823</v>
      </c>
      <c r="J25" s="50">
        <f t="shared" ref="J25:L25" si="17">IFERROR(J24/I24,0)-1</f>
        <v>0.10381371744160006</v>
      </c>
      <c r="K25" s="50">
        <f t="shared" si="17"/>
        <v>4.7667342799188717E-2</v>
      </c>
      <c r="L25" s="50">
        <f t="shared" si="17"/>
        <v>-0.51926427879961279</v>
      </c>
      <c r="M25" s="75">
        <f>IFERROR(M24/L24,0)-1</f>
        <v>-0.14203248758222575</v>
      </c>
    </row>
    <row r="26" spans="1:13" x14ac:dyDescent="0.3">
      <c r="A26" s="14" t="s">
        <v>25</v>
      </c>
      <c r="B26" s="22">
        <f t="shared" ref="B26:M26" si="18">B13+B24</f>
        <v>1386</v>
      </c>
      <c r="C26" s="22">
        <f t="shared" si="18"/>
        <v>1242</v>
      </c>
      <c r="D26" s="22">
        <f t="shared" si="18"/>
        <v>1451</v>
      </c>
      <c r="E26" s="22">
        <f t="shared" si="18"/>
        <v>1515</v>
      </c>
      <c r="F26" s="22">
        <f t="shared" si="18"/>
        <v>1671</v>
      </c>
      <c r="G26" s="22">
        <f t="shared" si="18"/>
        <v>2512</v>
      </c>
      <c r="H26" s="22">
        <f t="shared" si="18"/>
        <v>2714</v>
      </c>
      <c r="I26" s="22">
        <f t="shared" ref="I26:J26" si="19">I13+I24</f>
        <v>2853</v>
      </c>
      <c r="J26" s="22">
        <f t="shared" si="19"/>
        <v>3213</v>
      </c>
      <c r="K26" s="22">
        <f t="shared" ref="K26:L26" si="20">K13+K24</f>
        <v>3636</v>
      </c>
      <c r="L26" s="22">
        <f t="shared" si="20"/>
        <v>-1616</v>
      </c>
      <c r="M26" s="74">
        <f t="shared" si="18"/>
        <v>-1895</v>
      </c>
    </row>
    <row r="27" spans="1:13" x14ac:dyDescent="0.3">
      <c r="A27" s="31" t="s">
        <v>26</v>
      </c>
      <c r="B27" s="36">
        <v>-346</v>
      </c>
      <c r="C27" s="36">
        <v>-335</v>
      </c>
      <c r="D27" s="36">
        <v>-336</v>
      </c>
      <c r="E27" s="36">
        <v>-318</v>
      </c>
      <c r="F27" s="36">
        <v>-313</v>
      </c>
      <c r="G27" s="36">
        <v>-353</v>
      </c>
      <c r="H27" s="36">
        <v>-462</v>
      </c>
      <c r="I27" s="36">
        <v>-503</v>
      </c>
      <c r="J27" s="36"/>
      <c r="K27" s="36"/>
      <c r="L27" s="36"/>
      <c r="M27" s="60">
        <f>SUMIFS('Interim Inc Statement Reported'!$B27:$XFD27,'Interim Inc Statement Reported'!$B$3:$XFD$3, "&lt;="&amp;'Annual Inc Statement Reported'!M$3, 'Interim Inc Statement Reported'!$B$3:$XFD$3, "&gt;="&amp;('Annual Inc Statement Reported'!M$3-364))</f>
        <v>0</v>
      </c>
    </row>
    <row r="28" spans="1:13" x14ac:dyDescent="0.3">
      <c r="A28" s="14" t="s">
        <v>27</v>
      </c>
      <c r="B28" s="22">
        <f t="shared" ref="B28:M28" si="21">B26+B27</f>
        <v>1040</v>
      </c>
      <c r="C28" s="22">
        <f t="shared" si="21"/>
        <v>907</v>
      </c>
      <c r="D28" s="22">
        <f t="shared" si="21"/>
        <v>1115</v>
      </c>
      <c r="E28" s="22">
        <f t="shared" si="21"/>
        <v>1197</v>
      </c>
      <c r="F28" s="22">
        <f t="shared" si="21"/>
        <v>1358</v>
      </c>
      <c r="G28" s="22">
        <f t="shared" si="21"/>
        <v>2159</v>
      </c>
      <c r="H28" s="22">
        <f t="shared" si="21"/>
        <v>2252</v>
      </c>
      <c r="I28" s="22">
        <f t="shared" ref="I28:K28" si="22">I26+I27</f>
        <v>2350</v>
      </c>
      <c r="J28" s="22">
        <f t="shared" si="22"/>
        <v>3213</v>
      </c>
      <c r="K28" s="22">
        <f t="shared" si="22"/>
        <v>3636</v>
      </c>
      <c r="L28" s="22">
        <f t="shared" ref="L28" si="23">L26+L27</f>
        <v>-1616</v>
      </c>
      <c r="M28" s="74">
        <f t="shared" si="21"/>
        <v>-1895</v>
      </c>
    </row>
    <row r="29" spans="1:13" x14ac:dyDescent="0.3">
      <c r="A29" s="31" t="s">
        <v>28</v>
      </c>
      <c r="B29" s="36">
        <v>-679</v>
      </c>
      <c r="C29" s="36">
        <v>-728</v>
      </c>
      <c r="D29" s="36">
        <v>-678</v>
      </c>
      <c r="E29" s="36">
        <v>-578</v>
      </c>
      <c r="F29" s="36">
        <v>-543</v>
      </c>
      <c r="G29" s="36">
        <v>-655</v>
      </c>
      <c r="H29" s="36">
        <v>-816</v>
      </c>
      <c r="I29" s="36">
        <v>-956</v>
      </c>
      <c r="J29" s="36">
        <f>-1717</f>
        <v>-1717</v>
      </c>
      <c r="K29" s="36">
        <f>-1986</f>
        <v>-1986</v>
      </c>
      <c r="L29" s="36">
        <v>-1849</v>
      </c>
      <c r="M29" s="60">
        <f>SUMIFS('Interim Inc Statement Reported'!$B29:$XFD29,'Interim Inc Statement Reported'!$B$3:$XFD$3, "&lt;="&amp;'Annual Inc Statement Reported'!M$3, 'Interim Inc Statement Reported'!$B$3:$XFD$3, "&gt;="&amp;('Annual Inc Statement Reported'!M$3-364))</f>
        <v>-1655</v>
      </c>
    </row>
    <row r="30" spans="1:13" x14ac:dyDescent="0.3">
      <c r="A30" s="14" t="s">
        <v>29</v>
      </c>
      <c r="B30" s="22">
        <f t="shared" ref="B30:M30" si="24">B28+B29</f>
        <v>361</v>
      </c>
      <c r="C30" s="22">
        <f t="shared" si="24"/>
        <v>179</v>
      </c>
      <c r="D30" s="22">
        <f t="shared" si="24"/>
        <v>437</v>
      </c>
      <c r="E30" s="22">
        <f t="shared" si="24"/>
        <v>619</v>
      </c>
      <c r="F30" s="22">
        <f t="shared" si="24"/>
        <v>815</v>
      </c>
      <c r="G30" s="22">
        <f t="shared" si="24"/>
        <v>1504</v>
      </c>
      <c r="H30" s="22">
        <f t="shared" si="24"/>
        <v>1436</v>
      </c>
      <c r="I30" s="22">
        <f t="shared" ref="I30:K30" si="25">I28+I29</f>
        <v>1394</v>
      </c>
      <c r="J30" s="22">
        <f t="shared" si="25"/>
        <v>1496</v>
      </c>
      <c r="K30" s="22">
        <f t="shared" si="25"/>
        <v>1650</v>
      </c>
      <c r="L30" s="22">
        <f t="shared" ref="L30" si="26">L28+L29</f>
        <v>-3465</v>
      </c>
      <c r="M30" s="74">
        <f t="shared" si="24"/>
        <v>-3550</v>
      </c>
    </row>
    <row r="31" spans="1:13" x14ac:dyDescent="0.3">
      <c r="A31" s="31" t="s">
        <v>30</v>
      </c>
      <c r="B31" s="32"/>
      <c r="C31" s="32"/>
      <c r="D31" s="32"/>
      <c r="E31" s="32"/>
      <c r="F31" s="32"/>
      <c r="G31" s="32"/>
      <c r="H31" s="32"/>
      <c r="I31" s="32"/>
      <c r="J31" s="32"/>
      <c r="K31" s="32"/>
      <c r="L31" s="32"/>
      <c r="M31" s="58">
        <f>SUMIFS('Interim Inc Statement Reported'!$B31:$XFD31,'Interim Inc Statement Reported'!$B$3:$XFD$3, "&lt;="&amp;'Annual Inc Statement Reported'!M$3, 'Interim Inc Statement Reported'!$B$3:$XFD$3, "&gt;="&amp;('Annual Inc Statement Reported'!M$3-364))</f>
        <v>0</v>
      </c>
    </row>
    <row r="32" spans="1:13" x14ac:dyDescent="0.3">
      <c r="A32" s="31" t="s">
        <v>31</v>
      </c>
      <c r="B32" s="32">
        <v>-7</v>
      </c>
      <c r="C32" s="32"/>
      <c r="D32" s="32">
        <v>-65</v>
      </c>
      <c r="E32" s="32"/>
      <c r="F32" s="32"/>
      <c r="G32" s="32"/>
      <c r="H32" s="32"/>
      <c r="I32" s="32">
        <v>52</v>
      </c>
      <c r="J32" s="32">
        <v>-188</v>
      </c>
      <c r="K32" s="32">
        <v>13</v>
      </c>
      <c r="L32" s="32">
        <v>18</v>
      </c>
      <c r="M32" s="58">
        <f>SUMIFS('Interim Inc Statement Reported'!$B32:$XFD32,'Interim Inc Statement Reported'!$B$3:$XFD$3, "&lt;="&amp;'Annual Inc Statement Reported'!M$3, 'Interim Inc Statement Reported'!$B$3:$XFD$3, "&gt;="&amp;('Annual Inc Statement Reported'!M$3-364))</f>
        <v>18</v>
      </c>
    </row>
    <row r="33" spans="1:13" x14ac:dyDescent="0.3">
      <c r="A33" s="31" t="s">
        <v>32</v>
      </c>
      <c r="B33" s="32"/>
      <c r="C33" s="32"/>
      <c r="D33" s="32">
        <v>-55</v>
      </c>
      <c r="E33" s="32"/>
      <c r="F33" s="32"/>
      <c r="G33" s="32"/>
      <c r="H33" s="32"/>
      <c r="I33" s="32"/>
      <c r="J33" s="32"/>
      <c r="K33" s="32"/>
      <c r="L33" s="32"/>
      <c r="M33" s="58">
        <f>SUMIFS('Interim Inc Statement Reported'!$B33:$XFD33,'Interim Inc Statement Reported'!$B$3:$XFD$3, "&lt;="&amp;'Annual Inc Statement Reported'!M$3, 'Interim Inc Statement Reported'!$B$3:$XFD$3, "&gt;="&amp;('Annual Inc Statement Reported'!M$3-364))</f>
        <v>0</v>
      </c>
    </row>
    <row r="34" spans="1:13" x14ac:dyDescent="0.3">
      <c r="A34" s="31" t="s">
        <v>33</v>
      </c>
      <c r="B34" s="32"/>
      <c r="C34" s="32"/>
      <c r="D34" s="32"/>
      <c r="E34" s="32"/>
      <c r="F34" s="32"/>
      <c r="G34" s="32"/>
      <c r="H34" s="32"/>
      <c r="I34" s="32"/>
      <c r="J34" s="32"/>
      <c r="K34" s="32"/>
      <c r="L34" s="32">
        <v>-315</v>
      </c>
      <c r="M34" s="58">
        <f>SUMIFS('Interim Inc Statement Reported'!$B34:$XFD34,'Interim Inc Statement Reported'!$B$3:$XFD$3, "&lt;="&amp;'Annual Inc Statement Reported'!M$3, 'Interim Inc Statement Reported'!$B$3:$XFD$3, "&gt;="&amp;('Annual Inc Statement Reported'!M$3-364))</f>
        <v>1</v>
      </c>
    </row>
    <row r="35" spans="1:13" x14ac:dyDescent="0.3">
      <c r="A35" s="31" t="s">
        <v>34</v>
      </c>
      <c r="B35" s="32">
        <v>46</v>
      </c>
      <c r="C35" s="32"/>
      <c r="D35" s="32"/>
      <c r="E35" s="32"/>
      <c r="F35" s="32"/>
      <c r="G35" s="32">
        <v>-8</v>
      </c>
      <c r="H35" s="32">
        <v>-91</v>
      </c>
      <c r="I35" s="32"/>
      <c r="J35" s="32"/>
      <c r="K35" s="32"/>
      <c r="L35" s="32"/>
      <c r="M35" s="58">
        <f>SUMIFS('Interim Inc Statement Reported'!$B35:$XFD35,'Interim Inc Statement Reported'!$B$3:$XFD$3, "&lt;="&amp;'Annual Inc Statement Reported'!M$3, 'Interim Inc Statement Reported'!$B$3:$XFD$3, "&gt;="&amp;('Annual Inc Statement Reported'!M$3-364))</f>
        <v>-4</v>
      </c>
    </row>
    <row r="36" spans="1:13" x14ac:dyDescent="0.3">
      <c r="A36" s="31" t="s">
        <v>35</v>
      </c>
      <c r="B36" s="36">
        <v>-20</v>
      </c>
      <c r="C36" s="36">
        <f>-16-16</f>
        <v>-32</v>
      </c>
      <c r="D36" s="36">
        <f>-6-16</f>
        <v>-22</v>
      </c>
      <c r="E36" s="36">
        <v>-208</v>
      </c>
      <c r="F36" s="36">
        <v>-134</v>
      </c>
      <c r="G36" s="36">
        <v>-105</v>
      </c>
      <c r="H36" s="36">
        <f>-76+19</f>
        <v>-57</v>
      </c>
      <c r="I36" s="36">
        <v>-30</v>
      </c>
      <c r="J36" s="36">
        <v>-36</v>
      </c>
      <c r="K36" s="36">
        <v>-61</v>
      </c>
      <c r="L36" s="36"/>
      <c r="M36" s="60">
        <f>SUMIFS('Interim Inc Statement Reported'!$B36:$XFD36,'Interim Inc Statement Reported'!$B$3:$XFD$3, "&lt;="&amp;'Annual Inc Statement Reported'!M$3, 'Interim Inc Statement Reported'!$B$3:$XFD$3, "&gt;="&amp;('Annual Inc Statement Reported'!M$3-364))</f>
        <v>16</v>
      </c>
    </row>
    <row r="37" spans="1:13" x14ac:dyDescent="0.3">
      <c r="A37" s="14" t="s">
        <v>36</v>
      </c>
      <c r="B37" s="22">
        <f t="shared" ref="B37:M37" si="27">SUM(B30:B36)</f>
        <v>380</v>
      </c>
      <c r="C37" s="22">
        <f t="shared" si="27"/>
        <v>147</v>
      </c>
      <c r="D37" s="22">
        <f t="shared" si="27"/>
        <v>295</v>
      </c>
      <c r="E37" s="22">
        <f t="shared" si="27"/>
        <v>411</v>
      </c>
      <c r="F37" s="22">
        <f t="shared" si="27"/>
        <v>681</v>
      </c>
      <c r="G37" s="22">
        <f t="shared" si="27"/>
        <v>1391</v>
      </c>
      <c r="H37" s="22">
        <f t="shared" si="27"/>
        <v>1288</v>
      </c>
      <c r="I37" s="22">
        <f t="shared" ref="I37:K37" si="28">SUM(I30:I36)</f>
        <v>1416</v>
      </c>
      <c r="J37" s="22">
        <f t="shared" si="28"/>
        <v>1272</v>
      </c>
      <c r="K37" s="22">
        <f t="shared" si="28"/>
        <v>1602</v>
      </c>
      <c r="L37" s="22">
        <f t="shared" ref="L37" si="29">SUM(L30:L36)</f>
        <v>-3762</v>
      </c>
      <c r="M37" s="74">
        <f t="shared" si="27"/>
        <v>-3519</v>
      </c>
    </row>
    <row r="38" spans="1:13" x14ac:dyDescent="0.3">
      <c r="A38" s="31" t="s">
        <v>37</v>
      </c>
      <c r="B38" s="32">
        <f>-378+1</f>
        <v>-377</v>
      </c>
      <c r="C38" s="32">
        <f>-320+4</f>
        <v>-316</v>
      </c>
      <c r="D38" s="32">
        <f>-304+18</f>
        <v>-286</v>
      </c>
      <c r="E38" s="32">
        <f>-397+46</f>
        <v>-351</v>
      </c>
      <c r="F38" s="32">
        <f>-322+30</f>
        <v>-292</v>
      </c>
      <c r="G38" s="32">
        <f>-389+70</f>
        <v>-319</v>
      </c>
      <c r="H38" s="32">
        <f>-374+58</f>
        <v>-316</v>
      </c>
      <c r="I38" s="32">
        <f>-311+36</f>
        <v>-275</v>
      </c>
      <c r="J38" s="32">
        <f>-567+35</f>
        <v>-532</v>
      </c>
      <c r="K38" s="32">
        <f>-515+35</f>
        <v>-480</v>
      </c>
      <c r="L38" s="32">
        <v>-656</v>
      </c>
      <c r="M38" s="58">
        <f>SUMIFS('Interim Inc Statement Reported'!$B38:$XFD38,'Interim Inc Statement Reported'!$B$3:$XFD$3, "&lt;="&amp;'Annual Inc Statement Reported'!M$3, 'Interim Inc Statement Reported'!$B$3:$XFD$3, "&gt;="&amp;('Annual Inc Statement Reported'!M$3-364))</f>
        <v>-721</v>
      </c>
    </row>
    <row r="39" spans="1:13" x14ac:dyDescent="0.3">
      <c r="A39" s="31" t="s">
        <v>38</v>
      </c>
      <c r="B39" s="32">
        <v>19</v>
      </c>
      <c r="C39" s="32">
        <v>36</v>
      </c>
      <c r="D39" s="32">
        <v>37</v>
      </c>
      <c r="E39" s="32">
        <v>32</v>
      </c>
      <c r="F39" s="32">
        <v>39</v>
      </c>
      <c r="G39" s="32">
        <v>46</v>
      </c>
      <c r="H39" s="32">
        <v>48</v>
      </c>
      <c r="I39" s="32">
        <v>60</v>
      </c>
      <c r="J39" s="32">
        <v>108</v>
      </c>
      <c r="K39" s="32">
        <v>164</v>
      </c>
      <c r="L39" s="32">
        <v>132</v>
      </c>
      <c r="M39" s="58">
        <f>SUMIFS('Interim Inc Statement Reported'!$B39:$XFD39,'Interim Inc Statement Reported'!$B$3:$XFD$3, "&lt;="&amp;'Annual Inc Statement Reported'!M$3, 'Interim Inc Statement Reported'!$B$3:$XFD$3, "&gt;="&amp;('Annual Inc Statement Reported'!M$3-364))</f>
        <v>80</v>
      </c>
    </row>
    <row r="40" spans="1:13" x14ac:dyDescent="0.3">
      <c r="A40" s="31" t="s">
        <v>39</v>
      </c>
      <c r="B40" s="32">
        <v>-3</v>
      </c>
      <c r="C40" s="32">
        <v>-63</v>
      </c>
      <c r="D40" s="32">
        <v>-20</v>
      </c>
      <c r="E40" s="32">
        <v>37</v>
      </c>
      <c r="F40" s="32">
        <v>-1</v>
      </c>
      <c r="G40" s="32">
        <v>-17</v>
      </c>
      <c r="H40" s="32">
        <v>4</v>
      </c>
      <c r="I40" s="32">
        <v>23</v>
      </c>
      <c r="J40" s="32"/>
      <c r="K40" s="32"/>
      <c r="L40" s="32">
        <v>-242</v>
      </c>
      <c r="M40" s="58">
        <f>SUMIFS('Interim Inc Statement Reported'!$B40:$XFD40,'Interim Inc Statement Reported'!$B$3:$XFD$3, "&lt;="&amp;'Annual Inc Statement Reported'!M$3, 'Interim Inc Statement Reported'!$B$3:$XFD$3, "&gt;="&amp;('Annual Inc Statement Reported'!M$3-364))</f>
        <v>-342</v>
      </c>
    </row>
    <row r="41" spans="1:13" x14ac:dyDescent="0.3">
      <c r="A41" s="31" t="s">
        <v>40</v>
      </c>
      <c r="B41" s="32">
        <v>145</v>
      </c>
      <c r="C41" s="32">
        <v>-54</v>
      </c>
      <c r="D41" s="32">
        <v>106</v>
      </c>
      <c r="E41" s="32">
        <v>-120</v>
      </c>
      <c r="F41" s="32">
        <v>-307</v>
      </c>
      <c r="G41" s="32">
        <v>-762</v>
      </c>
      <c r="H41" s="32">
        <v>-38</v>
      </c>
      <c r="I41" s="32">
        <v>120</v>
      </c>
      <c r="J41" s="32">
        <v>-578</v>
      </c>
      <c r="K41" s="32">
        <v>499</v>
      </c>
      <c r="L41" s="32">
        <v>-293</v>
      </c>
      <c r="M41" s="58">
        <f>SUMIFS('Interim Inc Statement Reported'!$B41:$XFD41,'Interim Inc Statement Reported'!$B$3:$XFD$3, "&lt;="&amp;'Annual Inc Statement Reported'!M$3, 'Interim Inc Statement Reported'!$B$3:$XFD$3, "&gt;="&amp;('Annual Inc Statement Reported'!M$3-364))</f>
        <v>14</v>
      </c>
    </row>
    <row r="42" spans="1:13" x14ac:dyDescent="0.3">
      <c r="A42" s="31" t="s">
        <v>41</v>
      </c>
      <c r="B42" s="36"/>
      <c r="C42" s="36"/>
      <c r="D42" s="36"/>
      <c r="E42" s="36">
        <v>-7</v>
      </c>
      <c r="F42" s="36">
        <v>-15</v>
      </c>
      <c r="G42" s="36">
        <f>-13-18</f>
        <v>-31</v>
      </c>
      <c r="H42" s="36">
        <f>-89-20</f>
        <v>-109</v>
      </c>
      <c r="I42" s="36">
        <f>-65+21-21</f>
        <v>-65</v>
      </c>
      <c r="J42" s="36">
        <f>-50-1+9</f>
        <v>-42</v>
      </c>
      <c r="K42" s="36">
        <f>-39+23+6</f>
        <v>-10</v>
      </c>
      <c r="L42" s="36">
        <f>-27+25-34</f>
        <v>-36</v>
      </c>
      <c r="M42" s="60">
        <f>SUMIFS('Interim Inc Statement Reported'!$B42:$XFD42,'Interim Inc Statement Reported'!$B$3:$XFD$3, "&lt;="&amp;'Annual Inc Statement Reported'!M$3, 'Interim Inc Statement Reported'!$B$3:$XFD$3, "&gt;="&amp;('Annual Inc Statement Reported'!M$3-364))</f>
        <v>-155</v>
      </c>
    </row>
    <row r="43" spans="1:13" x14ac:dyDescent="0.3">
      <c r="A43" s="14" t="s">
        <v>42</v>
      </c>
      <c r="B43" s="22">
        <f t="shared" ref="B43:M43" si="30">SUM(B37:B42)</f>
        <v>164</v>
      </c>
      <c r="C43" s="22">
        <f t="shared" si="30"/>
        <v>-250</v>
      </c>
      <c r="D43" s="22">
        <f t="shared" si="30"/>
        <v>132</v>
      </c>
      <c r="E43" s="22">
        <f t="shared" si="30"/>
        <v>2</v>
      </c>
      <c r="F43" s="22">
        <f t="shared" si="30"/>
        <v>105</v>
      </c>
      <c r="G43" s="22">
        <f t="shared" si="30"/>
        <v>308</v>
      </c>
      <c r="H43" s="22">
        <f t="shared" si="30"/>
        <v>877</v>
      </c>
      <c r="I43" s="22">
        <f t="shared" ref="I43:K43" si="31">SUM(I37:I42)</f>
        <v>1279</v>
      </c>
      <c r="J43" s="22">
        <f t="shared" si="31"/>
        <v>228</v>
      </c>
      <c r="K43" s="22">
        <f t="shared" si="31"/>
        <v>1775</v>
      </c>
      <c r="L43" s="22">
        <f t="shared" ref="L43" si="32">SUM(L37:L42)</f>
        <v>-4857</v>
      </c>
      <c r="M43" s="74">
        <f t="shared" si="30"/>
        <v>-4643</v>
      </c>
    </row>
    <row r="44" spans="1:13" x14ac:dyDescent="0.3">
      <c r="A44" s="31" t="s">
        <v>3</v>
      </c>
      <c r="B44" s="36">
        <v>-48</v>
      </c>
      <c r="C44" s="36">
        <v>1</v>
      </c>
      <c r="D44" s="36">
        <v>-1</v>
      </c>
      <c r="E44" s="36">
        <v>8</v>
      </c>
      <c r="F44" s="36">
        <v>0</v>
      </c>
      <c r="G44" s="36">
        <v>0</v>
      </c>
      <c r="H44" s="36">
        <v>-1</v>
      </c>
      <c r="I44" s="36">
        <v>759</v>
      </c>
      <c r="J44" s="36">
        <v>-191</v>
      </c>
      <c r="K44" s="36">
        <v>-299</v>
      </c>
      <c r="L44" s="36">
        <v>206</v>
      </c>
      <c r="M44" s="60">
        <f>SUMIFS('Interim Inc Statement Reported'!$B44:$XFD44,'Interim Inc Statement Reported'!$B$3:$XFD$3, "&lt;="&amp;'Annual Inc Statement Reported'!M$3, 'Interim Inc Statement Reported'!$B$3:$XFD$3, "&gt;="&amp;('Annual Inc Statement Reported'!M$3-364))</f>
        <v>369</v>
      </c>
    </row>
    <row r="45" spans="1:13" x14ac:dyDescent="0.3">
      <c r="A45" s="14" t="s">
        <v>43</v>
      </c>
      <c r="B45" s="22">
        <f t="shared" ref="B45:M45" si="33">SUM(B43:B44)</f>
        <v>116</v>
      </c>
      <c r="C45" s="22">
        <f t="shared" si="33"/>
        <v>-249</v>
      </c>
      <c r="D45" s="22">
        <f t="shared" si="33"/>
        <v>131</v>
      </c>
      <c r="E45" s="22">
        <f t="shared" si="33"/>
        <v>10</v>
      </c>
      <c r="F45" s="22">
        <f t="shared" si="33"/>
        <v>105</v>
      </c>
      <c r="G45" s="22">
        <f t="shared" si="33"/>
        <v>308</v>
      </c>
      <c r="H45" s="22">
        <f t="shared" si="33"/>
        <v>876</v>
      </c>
      <c r="I45" s="22">
        <f t="shared" ref="I45:K45" si="34">SUM(I43:I44)</f>
        <v>2038</v>
      </c>
      <c r="J45" s="22">
        <f t="shared" si="34"/>
        <v>37</v>
      </c>
      <c r="K45" s="22">
        <f t="shared" si="34"/>
        <v>1476</v>
      </c>
      <c r="L45" s="22">
        <f t="shared" ref="L45" si="35">SUM(L43:L44)</f>
        <v>-4651</v>
      </c>
      <c r="M45" s="74">
        <f t="shared" si="33"/>
        <v>-4274</v>
      </c>
    </row>
    <row r="46" spans="1:13" x14ac:dyDescent="0.3">
      <c r="A46" s="31" t="s">
        <v>8</v>
      </c>
      <c r="B46" s="32">
        <v>9</v>
      </c>
      <c r="C46" s="32">
        <v>6</v>
      </c>
      <c r="D46" s="32">
        <v>4</v>
      </c>
      <c r="E46" s="32">
        <v>4</v>
      </c>
      <c r="F46" s="32">
        <v>5</v>
      </c>
      <c r="G46" s="32">
        <v>5</v>
      </c>
      <c r="H46" s="32">
        <v>0</v>
      </c>
      <c r="I46" s="32"/>
      <c r="J46" s="32"/>
      <c r="K46" s="32"/>
      <c r="L46" s="32"/>
      <c r="M46" s="58"/>
    </row>
    <row r="47" spans="1:13" ht="15" thickBot="1" x14ac:dyDescent="0.35">
      <c r="A47" s="14" t="s">
        <v>44</v>
      </c>
      <c r="B47" s="24">
        <f t="shared" ref="B47:M47" si="36">B45-B46</f>
        <v>107</v>
      </c>
      <c r="C47" s="24">
        <f t="shared" si="36"/>
        <v>-255</v>
      </c>
      <c r="D47" s="24">
        <f t="shared" si="36"/>
        <v>127</v>
      </c>
      <c r="E47" s="24">
        <f t="shared" si="36"/>
        <v>6</v>
      </c>
      <c r="F47" s="24">
        <f t="shared" si="36"/>
        <v>100</v>
      </c>
      <c r="G47" s="24">
        <f t="shared" si="36"/>
        <v>303</v>
      </c>
      <c r="H47" s="24">
        <f t="shared" si="36"/>
        <v>876</v>
      </c>
      <c r="I47" s="24">
        <f t="shared" ref="I47:K47" si="37">I45-I46</f>
        <v>2038</v>
      </c>
      <c r="J47" s="24">
        <f t="shared" si="37"/>
        <v>37</v>
      </c>
      <c r="K47" s="24">
        <f t="shared" si="37"/>
        <v>1476</v>
      </c>
      <c r="L47" s="24">
        <f t="shared" ref="L47" si="38">L45-L46</f>
        <v>-4651</v>
      </c>
      <c r="M47" s="76">
        <f t="shared" si="36"/>
        <v>-4274</v>
      </c>
    </row>
    <row r="48" spans="1:13" ht="15" thickTop="1" x14ac:dyDescent="0.3">
      <c r="A48" s="14"/>
      <c r="B48" s="337"/>
      <c r="C48" s="337"/>
      <c r="D48" s="337"/>
      <c r="E48" s="337"/>
      <c r="F48" s="337"/>
      <c r="G48" s="337"/>
      <c r="H48" s="337"/>
      <c r="I48" s="337"/>
      <c r="J48" s="337"/>
      <c r="K48" s="337"/>
      <c r="L48" s="337"/>
      <c r="M48" s="51"/>
    </row>
    <row r="49" spans="1:14" x14ac:dyDescent="0.3">
      <c r="A49" s="8" t="s">
        <v>2</v>
      </c>
      <c r="B49" s="10"/>
      <c r="C49" s="10"/>
      <c r="D49" s="10"/>
      <c r="E49" s="10"/>
      <c r="F49" s="10"/>
      <c r="G49" s="10"/>
      <c r="H49" s="10"/>
      <c r="I49" s="10"/>
      <c r="J49" s="10"/>
      <c r="K49" s="10"/>
      <c r="L49" s="10"/>
      <c r="M49" s="10"/>
    </row>
    <row r="50" spans="1:14" x14ac:dyDescent="0.3">
      <c r="A50" s="31" t="str">
        <f>'Annual Operational Data'!A31</f>
        <v>RPMs</v>
      </c>
      <c r="B50" s="12">
        <f>'Annual Operational Data'!B31</f>
        <v>51875</v>
      </c>
      <c r="C50" s="12">
        <f>'Annual Operational Data'!C31</f>
        <v>54223</v>
      </c>
      <c r="D50" s="12">
        <f>'Annual Operational Data'!D31</f>
        <v>55646</v>
      </c>
      <c r="E50" s="12">
        <f>'Annual Operational Data'!E31</f>
        <v>56791</v>
      </c>
      <c r="F50" s="12">
        <f>'Annual Operational Data'!F31</f>
        <v>61616</v>
      </c>
      <c r="G50" s="12">
        <f>'Annual Operational Data'!G31</f>
        <v>67545</v>
      </c>
      <c r="H50" s="12">
        <f>'Annual Operational Data'!H31</f>
        <v>76481</v>
      </c>
      <c r="I50" s="12">
        <f>'Annual Operational Data'!I31</f>
        <v>85137</v>
      </c>
      <c r="J50" s="12">
        <f>'Annual Operational Data'!J31</f>
        <v>92360</v>
      </c>
      <c r="K50" s="12">
        <f>'Annual Operational Data'!K31</f>
        <v>94113</v>
      </c>
      <c r="L50" s="12">
        <f>'Annual Operational Data'!L31</f>
        <v>23239</v>
      </c>
      <c r="M50" s="12">
        <f>'Annual Operational Data'!M31</f>
        <v>13865</v>
      </c>
    </row>
    <row r="51" spans="1:14" x14ac:dyDescent="0.3">
      <c r="A51" s="31" t="s">
        <v>0</v>
      </c>
      <c r="B51" s="40"/>
      <c r="C51" s="2">
        <f>IFERROR((C50/B50)-1,"N/A")</f>
        <v>4.5262650602409638E-2</v>
      </c>
      <c r="D51" s="2">
        <f t="shared" ref="D51:H51" si="39">IFERROR((D50/C50)-1,"N/A")</f>
        <v>2.6243476015712863E-2</v>
      </c>
      <c r="E51" s="2">
        <f t="shared" si="39"/>
        <v>2.0576501455630281E-2</v>
      </c>
      <c r="F51" s="2">
        <f t="shared" si="39"/>
        <v>8.4960645172650562E-2</v>
      </c>
      <c r="G51" s="2">
        <f t="shared" si="39"/>
        <v>9.6225006491820197E-2</v>
      </c>
      <c r="H51" s="2">
        <f t="shared" si="39"/>
        <v>0.13229698719372274</v>
      </c>
      <c r="I51" s="2">
        <f t="shared" ref="I51" si="40">IFERROR((I50/H50)-1,"N/A")</f>
        <v>0.11317843647441839</v>
      </c>
      <c r="J51" s="2">
        <f t="shared" ref="J51:L51" si="41">IFERROR((J50/I50)-1,"N/A")</f>
        <v>8.4839728907525558E-2</v>
      </c>
      <c r="K51" s="2">
        <f t="shared" si="41"/>
        <v>1.8980077955825125E-2</v>
      </c>
      <c r="L51" s="2">
        <f t="shared" si="41"/>
        <v>-0.75307343300075447</v>
      </c>
      <c r="M51" s="2">
        <f>IFERROR((M50/H50)-1,"N/A")</f>
        <v>-0.81871314444110299</v>
      </c>
    </row>
    <row r="52" spans="1:14" x14ac:dyDescent="0.3">
      <c r="A52" s="31" t="str">
        <f>'Annual Operational Data'!A33</f>
        <v>ASMs</v>
      </c>
      <c r="B52" s="12">
        <f>'Annual Operational Data'!B33</f>
        <v>63496</v>
      </c>
      <c r="C52" s="12">
        <f>'Annual Operational Data'!C33</f>
        <v>66460</v>
      </c>
      <c r="D52" s="12">
        <f>'Annual Operational Data'!D33</f>
        <v>67269</v>
      </c>
      <c r="E52" s="12">
        <f>'Annual Operational Data'!E33</f>
        <v>68573</v>
      </c>
      <c r="F52" s="12">
        <f>'Annual Operational Data'!F33</f>
        <v>73889</v>
      </c>
      <c r="G52" s="12">
        <f>'Annual Operational Data'!G33</f>
        <v>80871</v>
      </c>
      <c r="H52" s="12">
        <f>'Annual Operational Data'!H33</f>
        <v>92726</v>
      </c>
      <c r="I52" s="12">
        <f>'Annual Operational Data'!I33</f>
        <v>103492</v>
      </c>
      <c r="J52" s="12">
        <f>'Annual Operational Data'!J33</f>
        <v>110866</v>
      </c>
      <c r="K52" s="12">
        <f>'Annual Operational Data'!K33</f>
        <v>112814</v>
      </c>
      <c r="L52" s="12">
        <f>'Annual Operational Data'!L33</f>
        <v>37703</v>
      </c>
      <c r="M52" s="12">
        <f>'Annual Operational Data'!M33</f>
        <v>25327</v>
      </c>
    </row>
    <row r="53" spans="1:14" x14ac:dyDescent="0.3">
      <c r="A53" s="31" t="s">
        <v>0</v>
      </c>
      <c r="B53" s="40"/>
      <c r="C53" s="2">
        <f t="shared" ref="C53:H53" si="42">IFERROR((C52/B52)-1,"N/A")</f>
        <v>4.668010583343829E-2</v>
      </c>
      <c r="D53" s="2">
        <f t="shared" si="42"/>
        <v>1.2172735479987873E-2</v>
      </c>
      <c r="E53" s="2">
        <f t="shared" si="42"/>
        <v>1.9384857809689349E-2</v>
      </c>
      <c r="F53" s="2">
        <f t="shared" si="42"/>
        <v>7.7523223426129828E-2</v>
      </c>
      <c r="G53" s="2">
        <f t="shared" si="42"/>
        <v>9.4493090987833206E-2</v>
      </c>
      <c r="H53" s="2">
        <f t="shared" si="42"/>
        <v>0.14659148520483245</v>
      </c>
      <c r="I53" s="2">
        <f t="shared" ref="I53" si="43">IFERROR((I52/H52)-1,"N/A")</f>
        <v>0.11610551517373757</v>
      </c>
      <c r="J53" s="2">
        <f t="shared" ref="J53:L53" si="44">IFERROR((J52/I52)-1,"N/A")</f>
        <v>7.1251884203609839E-2</v>
      </c>
      <c r="K53" s="2">
        <f t="shared" si="44"/>
        <v>1.7570761098984367E-2</v>
      </c>
      <c r="L53" s="2">
        <f t="shared" si="44"/>
        <v>-0.66579502544010494</v>
      </c>
      <c r="M53" s="2">
        <f>IFERROR((M52/H52)-1,"N/A")</f>
        <v>-0.72686193732070836</v>
      </c>
    </row>
    <row r="54" spans="1:14" x14ac:dyDescent="0.3">
      <c r="A54" s="31" t="s">
        <v>45</v>
      </c>
      <c r="B54" s="2">
        <f>IFERROR(B50/B52,"")</f>
        <v>0.81698059720297345</v>
      </c>
      <c r="C54" s="2">
        <f t="shared" ref="C54:M54" si="45">IFERROR(C50/C52,"")</f>
        <v>0.81587421005115857</v>
      </c>
      <c r="D54" s="2">
        <f t="shared" si="45"/>
        <v>0.82721610251378797</v>
      </c>
      <c r="E54" s="2">
        <f t="shared" si="45"/>
        <v>0.82818310413719687</v>
      </c>
      <c r="F54" s="2">
        <f t="shared" si="45"/>
        <v>0.83389949789549189</v>
      </c>
      <c r="G54" s="2">
        <f t="shared" si="45"/>
        <v>0.83521905256519646</v>
      </c>
      <c r="H54" s="2">
        <f t="shared" si="45"/>
        <v>0.82480641891163209</v>
      </c>
      <c r="I54" s="2">
        <f t="shared" ref="I54:J54" si="46">IFERROR(I50/I52,"")</f>
        <v>0.82264329610018161</v>
      </c>
      <c r="J54" s="2">
        <f t="shared" si="46"/>
        <v>0.83307776955964863</v>
      </c>
      <c r="K54" s="2">
        <f t="shared" ref="K54:L54" si="47">IFERROR(K50/K52,"")</f>
        <v>0.83423156700409529</v>
      </c>
      <c r="L54" s="2">
        <f t="shared" si="47"/>
        <v>0.61637005012863699</v>
      </c>
      <c r="M54" s="2">
        <f t="shared" si="45"/>
        <v>0.54743949145181037</v>
      </c>
    </row>
    <row r="55" spans="1:14" x14ac:dyDescent="0.3">
      <c r="A55" s="31" t="s">
        <v>46</v>
      </c>
      <c r="B55" s="12">
        <f>'Annual Operational Data'!B27</f>
        <v>0</v>
      </c>
      <c r="C55" s="12">
        <f>'Annual Operational Data'!C27</f>
        <v>33900</v>
      </c>
      <c r="D55" s="12">
        <f>'Annual Operational Data'!D27</f>
        <v>34900</v>
      </c>
      <c r="E55" s="12">
        <f>'Annual Operational Data'!E27</f>
        <v>35761</v>
      </c>
      <c r="F55" s="12">
        <f>'Annual Operational Data'!F27</f>
        <v>38526</v>
      </c>
      <c r="G55" s="12">
        <f>'Annual Operational Data'!G27</f>
        <v>41126</v>
      </c>
      <c r="H55" s="12">
        <f>'Annual Operational Data'!H27</f>
        <v>44849</v>
      </c>
      <c r="I55" s="12">
        <f>'Annual Operational Data'!I27</f>
        <v>48126</v>
      </c>
      <c r="J55" s="12">
        <f>'Annual Operational Data'!J27</f>
        <v>50904</v>
      </c>
      <c r="K55" s="12">
        <f>'Annual Operational Data'!K27</f>
        <v>51543</v>
      </c>
      <c r="L55" s="12">
        <f>'Annual Operational Data'!L27</f>
        <v>13760</v>
      </c>
      <c r="M55" s="12">
        <f>'Annual Operational Data'!M27</f>
        <v>8981</v>
      </c>
    </row>
    <row r="56" spans="1:14" x14ac:dyDescent="0.3">
      <c r="A56" s="8" t="s">
        <v>10</v>
      </c>
      <c r="B56" s="10"/>
      <c r="C56" s="10"/>
      <c r="D56" s="10"/>
      <c r="E56" s="10"/>
      <c r="F56" s="10"/>
      <c r="G56" s="10"/>
      <c r="H56" s="10"/>
      <c r="I56" s="10"/>
      <c r="J56" s="10"/>
      <c r="K56" s="10"/>
      <c r="L56" s="10"/>
      <c r="M56" s="10"/>
    </row>
    <row r="57" spans="1:14" x14ac:dyDescent="0.3">
      <c r="A57" s="31" t="s">
        <v>461</v>
      </c>
      <c r="B57" s="5" t="str">
        <f>IFERROR(B8*1000/B55, "N/A")</f>
        <v>N/A</v>
      </c>
      <c r="C57" s="5">
        <f t="shared" ref="C57:M57" si="48">IFERROR(C8*1000/C55, "N/A")</f>
        <v>301.12094395280235</v>
      </c>
      <c r="D57" s="5">
        <f t="shared" si="48"/>
        <v>307.65042979942695</v>
      </c>
      <c r="E57" s="5">
        <f t="shared" si="48"/>
        <v>308.18489415844078</v>
      </c>
      <c r="F57" s="5">
        <f t="shared" si="48"/>
        <v>306.39048953953176</v>
      </c>
      <c r="G57" s="5">
        <f t="shared" si="48"/>
        <v>301.99873559305547</v>
      </c>
      <c r="H57" s="5">
        <f t="shared" si="48"/>
        <v>293.16149746928585</v>
      </c>
      <c r="I57" s="5">
        <f t="shared" ref="I57:J57" si="49">IFERROR(I8*1000/I55, "N/A")</f>
        <v>300.68985579520427</v>
      </c>
      <c r="J57" s="5">
        <f t="shared" si="49"/>
        <v>317.47996228194251</v>
      </c>
      <c r="K57" s="5">
        <f t="shared" ref="K57:L57" si="50">IFERROR(K8*1000/K55, "N/A")</f>
        <v>334.32279844013738</v>
      </c>
      <c r="L57" s="5">
        <f t="shared" si="50"/>
        <v>318.4593023255814</v>
      </c>
      <c r="M57" s="5">
        <f t="shared" si="48"/>
        <v>326.46698585903573</v>
      </c>
    </row>
    <row r="58" spans="1:14" x14ac:dyDescent="0.3">
      <c r="A58" s="31" t="s">
        <v>0</v>
      </c>
      <c r="B58" s="40"/>
      <c r="C58" s="2" t="str">
        <f t="shared" ref="C58:H58" si="51">IFERROR((C57/B57)-1,"N/A")</f>
        <v>N/A</v>
      </c>
      <c r="D58" s="2">
        <f t="shared" si="51"/>
        <v>2.1683931250056299E-2</v>
      </c>
      <c r="E58" s="2">
        <f t="shared" si="51"/>
        <v>1.7372456113982082E-3</v>
      </c>
      <c r="F58" s="2">
        <f t="shared" si="51"/>
        <v>-5.8224937461941462E-3</v>
      </c>
      <c r="G58" s="2">
        <f t="shared" si="51"/>
        <v>-1.4333845522021771E-2</v>
      </c>
      <c r="H58" s="2">
        <f t="shared" si="51"/>
        <v>-2.9262500408868686E-2</v>
      </c>
      <c r="I58" s="2">
        <f t="shared" ref="I58" si="52">IFERROR((I57/H57)-1,"N/A")</f>
        <v>2.5679901320285525E-2</v>
      </c>
      <c r="J58" s="2">
        <f t="shared" ref="J58:L58" si="53">IFERROR((J57/I57)-1,"N/A")</f>
        <v>5.5838619637949227E-2</v>
      </c>
      <c r="K58" s="2">
        <f t="shared" si="53"/>
        <v>5.3051650999118349E-2</v>
      </c>
      <c r="L58" s="2">
        <f t="shared" si="53"/>
        <v>-4.7449639057135506E-2</v>
      </c>
      <c r="M58" s="2">
        <f>IFERROR((M57/H57)-1,"N/A")</f>
        <v>0.11360798971645059</v>
      </c>
    </row>
    <row r="59" spans="1:14" x14ac:dyDescent="0.3">
      <c r="A59" s="85" t="s">
        <v>616</v>
      </c>
      <c r="B59" s="5" t="str">
        <f>IFERROR(B9*1000/B55, "N/A")</f>
        <v>N/A</v>
      </c>
      <c r="C59" s="5">
        <f t="shared" ref="C59:M59" si="54">IFERROR(C9*1000/C55, "N/A")</f>
        <v>0</v>
      </c>
      <c r="D59" s="5">
        <f t="shared" si="54"/>
        <v>0</v>
      </c>
      <c r="E59" s="5">
        <f t="shared" si="54"/>
        <v>0</v>
      </c>
      <c r="F59" s="5">
        <f t="shared" si="54"/>
        <v>0</v>
      </c>
      <c r="G59" s="5">
        <f t="shared" si="54"/>
        <v>0</v>
      </c>
      <c r="H59" s="5">
        <f t="shared" si="54"/>
        <v>0</v>
      </c>
      <c r="I59" s="5">
        <f t="shared" si="54"/>
        <v>0</v>
      </c>
      <c r="J59" s="5">
        <f t="shared" si="54"/>
        <v>0</v>
      </c>
      <c r="K59" s="5">
        <f t="shared" ref="K59:L59" si="55">IFERROR(K9*1000/K55, "N/A")</f>
        <v>0</v>
      </c>
      <c r="L59" s="5">
        <f t="shared" si="55"/>
        <v>0</v>
      </c>
      <c r="M59" s="5">
        <f t="shared" si="54"/>
        <v>0</v>
      </c>
    </row>
    <row r="60" spans="1:14" x14ac:dyDescent="0.3">
      <c r="A60" s="85" t="s">
        <v>0</v>
      </c>
      <c r="B60" s="40"/>
      <c r="C60" s="2" t="str">
        <f t="shared" ref="C60" si="56">IFERROR((C59/B59)-1,"N/A")</f>
        <v>N/A</v>
      </c>
      <c r="D60" s="2" t="str">
        <f t="shared" ref="D60" si="57">IFERROR((D59/C59)-1,"N/A")</f>
        <v>N/A</v>
      </c>
      <c r="E60" s="2" t="str">
        <f t="shared" ref="E60" si="58">IFERROR((E59/D59)-1,"N/A")</f>
        <v>N/A</v>
      </c>
      <c r="F60" s="2" t="str">
        <f t="shared" ref="F60" si="59">IFERROR((F59/E59)-1,"N/A")</f>
        <v>N/A</v>
      </c>
      <c r="G60" s="2" t="str">
        <f t="shared" ref="G60" si="60">IFERROR((G59/F59)-1,"N/A")</f>
        <v>N/A</v>
      </c>
      <c r="H60" s="2" t="str">
        <f t="shared" ref="H60" si="61">IFERROR((H59/G59)-1,"N/A")</f>
        <v>N/A</v>
      </c>
      <c r="I60" s="2" t="str">
        <f t="shared" ref="I60" si="62">IFERROR((I59/H59)-1,"N/A")</f>
        <v>N/A</v>
      </c>
      <c r="J60" s="2" t="str">
        <f t="shared" ref="J60:L60" si="63">IFERROR((J59/I59)-1,"N/A")</f>
        <v>N/A</v>
      </c>
      <c r="K60" s="2" t="str">
        <f t="shared" si="63"/>
        <v>N/A</v>
      </c>
      <c r="L60" s="2" t="str">
        <f t="shared" si="63"/>
        <v>N/A</v>
      </c>
      <c r="M60" s="2" t="str">
        <f>IFERROR((M59/H59)-1,"N/A")</f>
        <v>N/A</v>
      </c>
    </row>
    <row r="61" spans="1:14" x14ac:dyDescent="0.3">
      <c r="A61" s="85" t="s">
        <v>617</v>
      </c>
      <c r="B61" s="5" t="str">
        <f>IFERROR((B8+B9)*1000/B55, "N/A")</f>
        <v>N/A</v>
      </c>
      <c r="C61" s="5">
        <f t="shared" ref="C61:M61" si="64">IFERROR((C8+C9)*1000/C55, "N/A")</f>
        <v>301.12094395280235</v>
      </c>
      <c r="D61" s="5">
        <f t="shared" si="64"/>
        <v>307.65042979942695</v>
      </c>
      <c r="E61" s="5">
        <f t="shared" si="64"/>
        <v>308.18489415844078</v>
      </c>
      <c r="F61" s="5">
        <f t="shared" si="64"/>
        <v>306.39048953953176</v>
      </c>
      <c r="G61" s="5">
        <f t="shared" si="64"/>
        <v>301.99873559305547</v>
      </c>
      <c r="H61" s="5">
        <f t="shared" si="64"/>
        <v>293.16149746928585</v>
      </c>
      <c r="I61" s="5">
        <f t="shared" si="64"/>
        <v>300.68985579520427</v>
      </c>
      <c r="J61" s="5">
        <f t="shared" si="64"/>
        <v>317.47996228194251</v>
      </c>
      <c r="K61" s="5">
        <f t="shared" ref="K61:L61" si="65">IFERROR((K8+K9)*1000/K55, "N/A")</f>
        <v>334.32279844013738</v>
      </c>
      <c r="L61" s="5">
        <f t="shared" si="65"/>
        <v>318.4593023255814</v>
      </c>
      <c r="M61" s="5">
        <f t="shared" si="64"/>
        <v>326.46698585903573</v>
      </c>
    </row>
    <row r="62" spans="1:14" x14ac:dyDescent="0.3">
      <c r="A62" s="85" t="s">
        <v>0</v>
      </c>
      <c r="B62" s="40"/>
      <c r="C62" s="2" t="str">
        <f t="shared" ref="C62" si="66">IFERROR((C61/B61)-1,"N/A")</f>
        <v>N/A</v>
      </c>
      <c r="D62" s="2">
        <f t="shared" ref="D62" si="67">IFERROR((D61/C61)-1,"N/A")</f>
        <v>2.1683931250056299E-2</v>
      </c>
      <c r="E62" s="2">
        <f t="shared" ref="E62" si="68">IFERROR((E61/D61)-1,"N/A")</f>
        <v>1.7372456113982082E-3</v>
      </c>
      <c r="F62" s="2">
        <f t="shared" ref="F62" si="69">IFERROR((F61/E61)-1,"N/A")</f>
        <v>-5.8224937461941462E-3</v>
      </c>
      <c r="G62" s="2">
        <f t="shared" ref="G62" si="70">IFERROR((G61/F61)-1,"N/A")</f>
        <v>-1.4333845522021771E-2</v>
      </c>
      <c r="H62" s="2">
        <f t="shared" ref="H62" si="71">IFERROR((H61/G61)-1,"N/A")</f>
        <v>-2.9262500408868686E-2</v>
      </c>
      <c r="I62" s="2">
        <f t="shared" ref="I62" si="72">IFERROR((I61/H61)-1,"N/A")</f>
        <v>2.5679901320285525E-2</v>
      </c>
      <c r="J62" s="2">
        <f t="shared" ref="J62:L62" si="73">IFERROR((J61/I61)-1,"N/A")</f>
        <v>5.5838619637949227E-2</v>
      </c>
      <c r="K62" s="2">
        <f t="shared" si="73"/>
        <v>5.3051650999118349E-2</v>
      </c>
      <c r="L62" s="2">
        <f t="shared" si="73"/>
        <v>-4.7449639057135506E-2</v>
      </c>
      <c r="M62" s="2">
        <f>IFERROR((M61/H61)-1,"N/A")</f>
        <v>0.11360798971645059</v>
      </c>
    </row>
    <row r="63" spans="1:14" x14ac:dyDescent="0.3">
      <c r="A63" s="31" t="str">
        <f>IF(Inputs!$E$10 = "miles", "Total Yield Total Revenue/RPM [cents]", "Total Yield {Total Revenue/RPK} [cents]")</f>
        <v>Total Yield Total Revenue/RPM [cents]</v>
      </c>
      <c r="B63" s="5">
        <f t="shared" ref="B63:M63" si="74">IFERROR(B13*100/B50, "N/A")</f>
        <v>20.792289156626506</v>
      </c>
      <c r="C63" s="5">
        <f t="shared" si="74"/>
        <v>21.415266584290798</v>
      </c>
      <c r="D63" s="5">
        <f t="shared" si="74"/>
        <v>21.780541278798118</v>
      </c>
      <c r="E63" s="5">
        <f t="shared" si="74"/>
        <v>21.802750435808491</v>
      </c>
      <c r="F63" s="5">
        <f t="shared" si="74"/>
        <v>21.539859776681382</v>
      </c>
      <c r="G63" s="5">
        <f t="shared" si="74"/>
        <v>20.531497520171737</v>
      </c>
      <c r="H63" s="5">
        <f t="shared" si="74"/>
        <v>19.190387154979668</v>
      </c>
      <c r="I63" s="5">
        <f t="shared" si="74"/>
        <v>19.089232648554681</v>
      </c>
      <c r="J63" s="5">
        <f t="shared" si="74"/>
        <v>19.492204417496751</v>
      </c>
      <c r="K63" s="5">
        <f t="shared" ref="K63:L63" si="75">IFERROR(K13*100/K50, "N/A")</f>
        <v>20.327691179752001</v>
      </c>
      <c r="L63" s="5">
        <f t="shared" si="75"/>
        <v>25.100047334222644</v>
      </c>
      <c r="M63" s="5">
        <f t="shared" si="74"/>
        <v>32.426974395961054</v>
      </c>
      <c r="N63" s="85"/>
    </row>
    <row r="64" spans="1:14" x14ac:dyDescent="0.3">
      <c r="A64" s="31" t="s">
        <v>0</v>
      </c>
      <c r="B64" s="40"/>
      <c r="C64" s="2">
        <f t="shared" ref="C64:H64" si="76">IFERROR((C63/B63)-1,"N/A")</f>
        <v>2.9961945169743265E-2</v>
      </c>
      <c r="D64" s="2">
        <f t="shared" si="76"/>
        <v>1.7056742818007509E-2</v>
      </c>
      <c r="E64" s="2">
        <f t="shared" si="76"/>
        <v>1.0196788374581267E-3</v>
      </c>
      <c r="F64" s="2">
        <f t="shared" si="76"/>
        <v>-1.2057683268040464E-2</v>
      </c>
      <c r="G64" s="2">
        <f t="shared" si="76"/>
        <v>-4.6813779985758197E-2</v>
      </c>
      <c r="H64" s="2">
        <f t="shared" si="76"/>
        <v>-6.5319656487524025E-2</v>
      </c>
      <c r="I64" s="2">
        <f t="shared" ref="I64" si="77">IFERROR((I63/H63)-1,"N/A")</f>
        <v>-5.2711029542068522E-3</v>
      </c>
      <c r="J64" s="2">
        <f t="shared" ref="J64:L64" si="78">IFERROR((J63/I63)-1,"N/A")</f>
        <v>2.1109898777025071E-2</v>
      </c>
      <c r="K64" s="2">
        <f t="shared" si="78"/>
        <v>4.2862610321554806E-2</v>
      </c>
      <c r="L64" s="2">
        <f t="shared" si="78"/>
        <v>0.23477118538795438</v>
      </c>
      <c r="M64" s="2">
        <f>IFERROR((M63/H63)-1,"N/A")</f>
        <v>0.68975092238025315</v>
      </c>
    </row>
    <row r="65" spans="1:13" x14ac:dyDescent="0.3">
      <c r="A65" s="31" t="str">
        <f>IF(Inputs!$E$10 = "miles", "Total Revenue per ASM ('RASM') [cents]","Total Revenue per ASK ('RASK') [cents]")</f>
        <v>Total Revenue per ASM ('RASM') [cents]</v>
      </c>
      <c r="B65" s="5">
        <f t="shared" ref="B65:M65" si="79">IFERROR(B13*100/B52, "N/A")</f>
        <v>16.986896812397632</v>
      </c>
      <c r="C65" s="5">
        <f t="shared" si="79"/>
        <v>17.47216370749323</v>
      </c>
      <c r="D65" s="5">
        <f t="shared" si="79"/>
        <v>18.017214467288053</v>
      </c>
      <c r="E65" s="5">
        <f t="shared" si="79"/>
        <v>18.056669534656496</v>
      </c>
      <c r="F65" s="5">
        <f t="shared" si="79"/>
        <v>17.962078252513905</v>
      </c>
      <c r="G65" s="5">
        <f t="shared" si="79"/>
        <v>17.148297906542517</v>
      </c>
      <c r="H65" s="5">
        <f t="shared" si="79"/>
        <v>15.828354506826564</v>
      </c>
      <c r="I65" s="5">
        <f t="shared" si="79"/>
        <v>15.703629266030225</v>
      </c>
      <c r="J65" s="5">
        <f t="shared" si="79"/>
        <v>16.238522179928925</v>
      </c>
      <c r="K65" s="5">
        <f t="shared" ref="K65:L65" si="80">IFERROR(K13*100/K52, "N/A")</f>
        <v>16.958001666459836</v>
      </c>
      <c r="L65" s="5">
        <f t="shared" si="80"/>
        <v>15.470917433625971</v>
      </c>
      <c r="M65" s="5">
        <f t="shared" si="79"/>
        <v>17.751806372645792</v>
      </c>
    </row>
    <row r="66" spans="1:13" x14ac:dyDescent="0.3">
      <c r="A66" s="31" t="s">
        <v>0</v>
      </c>
      <c r="B66" s="40"/>
      <c r="C66" s="2">
        <f t="shared" ref="C66:H66" si="81">IFERROR((C65/B65)-1,"N/A")</f>
        <v>2.8567130327266987E-2</v>
      </c>
      <c r="D66" s="2">
        <f t="shared" si="81"/>
        <v>3.1195378484295544E-2</v>
      </c>
      <c r="E66" s="2">
        <f t="shared" si="81"/>
        <v>2.1898539000064776E-3</v>
      </c>
      <c r="F66" s="2">
        <f t="shared" si="81"/>
        <v>-5.2385785740299839E-3</v>
      </c>
      <c r="G66" s="2">
        <f t="shared" si="81"/>
        <v>-4.5305467136437572E-2</v>
      </c>
      <c r="H66" s="2">
        <f t="shared" si="81"/>
        <v>-7.6972269021076456E-2</v>
      </c>
      <c r="I66" s="2">
        <f t="shared" ref="I66" si="82">IFERROR((I65/H65)-1,"N/A")</f>
        <v>-7.8798614690204216E-3</v>
      </c>
      <c r="J66" s="2">
        <f t="shared" ref="J66:L66" si="83">IFERROR((J65/I65)-1,"N/A")</f>
        <v>3.4061738521538487E-2</v>
      </c>
      <c r="K66" s="2">
        <f t="shared" si="83"/>
        <v>4.4306955926087799E-2</v>
      </c>
      <c r="L66" s="2">
        <f t="shared" si="83"/>
        <v>-8.7692185794218669E-2</v>
      </c>
      <c r="M66" s="2">
        <f>IFERROR((M65/H65)-1,"N/A")</f>
        <v>0.12151938251001826</v>
      </c>
    </row>
    <row r="67" spans="1:13" x14ac:dyDescent="0.3">
      <c r="A67" s="31" t="str">
        <f>IF(Inputs!$E$10 = "miles","Passenger Yield per RPM (Pass Revenue/RPM) [cents]","Passenger Yield per RPK (Pass Revenue/RPK) [cents]")</f>
        <v>Passenger Yield per RPM (Pass Revenue/RPM) [cents]</v>
      </c>
      <c r="B67" s="5">
        <f>IFERROR(B8*100/'Annual Operational Data'!B31,"N/A")</f>
        <v>18.172530120481927</v>
      </c>
      <c r="C67" s="5">
        <f>IFERROR(C8*100/'Annual Operational Data'!C31,"N/A")</f>
        <v>18.825959463696218</v>
      </c>
      <c r="D67" s="5">
        <f>IFERROR(D8*100/'Annual Operational Data'!D31,"N/A")</f>
        <v>19.295187434856054</v>
      </c>
      <c r="E67" s="5">
        <f>IFERROR(E8*100/'Annual Operational Data'!E31,"N/A")</f>
        <v>19.406243947104294</v>
      </c>
      <c r="F67" s="5">
        <f>IFERROR(F8*100/'Annual Operational Data'!F31,"N/A")</f>
        <v>19.157361724227474</v>
      </c>
      <c r="G67" s="5">
        <f>IFERROR(G8*100/'Annual Operational Data'!G31,"N/A")</f>
        <v>18.387741505662891</v>
      </c>
      <c r="H67" s="5">
        <f>IFERROR(H8*100/'Annual Operational Data'!H31,"N/A")</f>
        <v>17.191197813836116</v>
      </c>
      <c r="I67" s="5">
        <f>IFERROR(I8*100/'Annual Operational Data'!I31,"N/A")</f>
        <v>16.997310217649201</v>
      </c>
      <c r="J67" s="5">
        <f>IFERROR(J8*100/'Annual Operational Data'!J31,"N/A")</f>
        <v>17.497834560415765</v>
      </c>
      <c r="K67" s="5">
        <f>IFERROR(K8*100/'Annual Operational Data'!K31,"N/A")</f>
        <v>18.309904051512543</v>
      </c>
      <c r="L67" s="5">
        <f>IFERROR(L8*100/'Annual Operational Data'!L31,"N/A")</f>
        <v>18.85623305649985</v>
      </c>
      <c r="M67" s="5">
        <f>IFERROR(M8*100/'Annual Operational Data'!M31,"N/A")</f>
        <v>21.14677244861161</v>
      </c>
    </row>
    <row r="68" spans="1:13" x14ac:dyDescent="0.3">
      <c r="A68" s="31" t="s">
        <v>0</v>
      </c>
      <c r="B68" s="40"/>
      <c r="C68" s="2">
        <f t="shared" ref="C68:H68" si="84">IFERROR((C67/B67)-1,"N/A")</f>
        <v>3.5956982262906001E-2</v>
      </c>
      <c r="D68" s="2">
        <f t="shared" si="84"/>
        <v>2.4924518299568765E-2</v>
      </c>
      <c r="E68" s="2">
        <f t="shared" si="84"/>
        <v>5.7556586388800568E-3</v>
      </c>
      <c r="F68" s="2">
        <f t="shared" si="84"/>
        <v>-1.2824852844022683E-2</v>
      </c>
      <c r="G68" s="2">
        <f t="shared" si="84"/>
        <v>-4.0173601649504675E-2</v>
      </c>
      <c r="H68" s="2">
        <f t="shared" si="84"/>
        <v>-6.5072901501159075E-2</v>
      </c>
      <c r="I68" s="2">
        <f t="shared" ref="I68" si="85">IFERROR((I67/H67)-1,"N/A")</f>
        <v>-1.1278306391824922E-2</v>
      </c>
      <c r="J68" s="2">
        <f t="shared" ref="J68:L68" si="86">IFERROR((J67/I67)-1,"N/A")</f>
        <v>2.9447267618075479E-2</v>
      </c>
      <c r="K68" s="2">
        <f t="shared" si="86"/>
        <v>4.6409713630158E-2</v>
      </c>
      <c r="L68" s="2">
        <f t="shared" si="86"/>
        <v>2.9837895570084871E-2</v>
      </c>
      <c r="M68" s="2">
        <f>IFERROR((M67/H67)-1,"N/A")</f>
        <v>0.23009302071970228</v>
      </c>
    </row>
    <row r="69" spans="1:13" x14ac:dyDescent="0.3">
      <c r="A69" s="31" t="str">
        <f>IF(Inputs!$E$10 = "miles","Passenger Revenue per ASM ('PRASM') [cents]", "Passenger Revenue per ASK ('PRASK') [cents]")</f>
        <v>Passenger Revenue per ASM ('PRASM') [cents]</v>
      </c>
      <c r="B69" s="5">
        <f t="shared" ref="B69:M69" si="87">IFERROR(B8*100/B52, "N/A")</f>
        <v>14.846604510520347</v>
      </c>
      <c r="C69" s="5">
        <f t="shared" si="87"/>
        <v>15.359614805898286</v>
      </c>
      <c r="D69" s="5">
        <f t="shared" si="87"/>
        <v>15.961289747134639</v>
      </c>
      <c r="E69" s="5">
        <f t="shared" si="87"/>
        <v>16.071923351756521</v>
      </c>
      <c r="F69" s="5">
        <f t="shared" si="87"/>
        <v>15.975314322835604</v>
      </c>
      <c r="G69" s="5">
        <f t="shared" si="87"/>
        <v>15.357792039173498</v>
      </c>
      <c r="H69" s="5">
        <f t="shared" si="87"/>
        <v>14.179410305631645</v>
      </c>
      <c r="I69" s="5">
        <f t="shared" si="87"/>
        <v>13.982723302284235</v>
      </c>
      <c r="J69" s="5">
        <f t="shared" si="87"/>
        <v>14.577056987714899</v>
      </c>
      <c r="K69" s="5">
        <f t="shared" ref="K69:L69" si="88">IFERROR(K8*100/K52, "N/A")</f>
        <v>15.274699948587941</v>
      </c>
      <c r="L69" s="5">
        <f t="shared" si="88"/>
        <v>11.622417314272074</v>
      </c>
      <c r="M69" s="5">
        <f t="shared" si="87"/>
        <v>11.576578355115094</v>
      </c>
    </row>
    <row r="70" spans="1:13" x14ac:dyDescent="0.3">
      <c r="A70" s="31" t="s">
        <v>0</v>
      </c>
      <c r="B70" s="40"/>
      <c r="C70" s="2">
        <f t="shared" ref="C70:H70" si="89">IFERROR((C69/B69)-1,"N/A")</f>
        <v>3.4554048706181728E-2</v>
      </c>
      <c r="D70" s="2">
        <f t="shared" si="89"/>
        <v>3.9172528011920171E-2</v>
      </c>
      <c r="E70" s="2">
        <f t="shared" si="89"/>
        <v>6.9313699816608842E-3</v>
      </c>
      <c r="F70" s="2">
        <f t="shared" si="89"/>
        <v>-6.0110434082152331E-3</v>
      </c>
      <c r="G70" s="2">
        <f t="shared" si="89"/>
        <v>-3.8654781444857123E-2</v>
      </c>
      <c r="H70" s="2">
        <f t="shared" si="89"/>
        <v>-7.6728590316637035E-2</v>
      </c>
      <c r="I70" s="2">
        <f t="shared" ref="I70" si="90">IFERROR((I69/H69)-1,"N/A")</f>
        <v>-1.3871310520529367E-2</v>
      </c>
      <c r="J70" s="2">
        <f t="shared" ref="J70:L70" si="91">IFERROR((J69/I69)-1,"N/A")</f>
        <v>4.2504859216771607E-2</v>
      </c>
      <c r="K70" s="2">
        <f t="shared" si="91"/>
        <v>4.7858971907772219E-2</v>
      </c>
      <c r="L70" s="2">
        <f t="shared" si="91"/>
        <v>-0.23910666963075111</v>
      </c>
      <c r="M70" s="2">
        <f>IFERROR((M69/H69)-1,"N/A")</f>
        <v>-0.18356418880711722</v>
      </c>
    </row>
    <row r="71" spans="1:13" x14ac:dyDescent="0.3">
      <c r="A71" s="31" t="str">
        <f>IF(Inputs!$E$10 = "miles","Cargo Yield per RFTM (Cargo Revenue/RFTM) [cents]", "Cargo Yield per RFTK (Cargo Revenue/RFTK) [cents]")</f>
        <v>Cargo Yield per RFTM (Cargo Revenue/RFTM) [cents]</v>
      </c>
      <c r="B71" s="5" t="str">
        <f>IFERROR(B10*100/'Annual Operational Data'!B37, "N/A")</f>
        <v>N/A</v>
      </c>
      <c r="C71" s="5" t="str">
        <f>IFERROR(C10*100/'Annual Operational Data'!C37, "N/A")</f>
        <v>N/A</v>
      </c>
      <c r="D71" s="5" t="str">
        <f>IFERROR(D10*100/'Annual Operational Data'!D37, "N/A")</f>
        <v>N/A</v>
      </c>
      <c r="E71" s="5" t="str">
        <f>IFERROR(E10*100/'Annual Operational Data'!E37, "N/A")</f>
        <v>N/A</v>
      </c>
      <c r="F71" s="5" t="str">
        <f>IFERROR(F10*100/'Annual Operational Data'!F37, "N/A")</f>
        <v>N/A</v>
      </c>
      <c r="G71" s="5" t="str">
        <f>IFERROR(G10*100/'Annual Operational Data'!G37, "N/A")</f>
        <v>N/A</v>
      </c>
      <c r="H71" s="5" t="str">
        <f>IFERROR(H10*100/'Annual Operational Data'!H37, "N/A")</f>
        <v>N/A</v>
      </c>
      <c r="I71" s="5" t="str">
        <f>IFERROR(I10*100/'Annual Operational Data'!I37, "N/A")</f>
        <v>N/A</v>
      </c>
      <c r="J71" s="5" t="str">
        <f>IFERROR(J10*100/'Annual Operational Data'!J37, "N/A")</f>
        <v>N/A</v>
      </c>
      <c r="K71" s="5" t="str">
        <f>IFERROR(K10*100/'Annual Operational Data'!K37, "N/A")</f>
        <v>N/A</v>
      </c>
      <c r="L71" s="5" t="str">
        <f>IFERROR(L10*100/'Annual Operational Data'!L37, "N/A")</f>
        <v>N/A</v>
      </c>
      <c r="M71" s="5" t="str">
        <f>IFERROR(M10*100/'Annual Operational Data'!M37, "N/A")</f>
        <v>N/A</v>
      </c>
    </row>
    <row r="72" spans="1:13" x14ac:dyDescent="0.3">
      <c r="A72" s="31" t="s">
        <v>0</v>
      </c>
      <c r="B72" s="40"/>
      <c r="C72" s="2" t="str">
        <f t="shared" ref="C72:H72" si="92">IFERROR((C71/B71)-1,"N/A")</f>
        <v>N/A</v>
      </c>
      <c r="D72" s="2" t="str">
        <f t="shared" si="92"/>
        <v>N/A</v>
      </c>
      <c r="E72" s="2" t="str">
        <f t="shared" si="92"/>
        <v>N/A</v>
      </c>
      <c r="F72" s="2" t="str">
        <f t="shared" si="92"/>
        <v>N/A</v>
      </c>
      <c r="G72" s="2" t="str">
        <f t="shared" si="92"/>
        <v>N/A</v>
      </c>
      <c r="H72" s="2" t="str">
        <f t="shared" si="92"/>
        <v>N/A</v>
      </c>
      <c r="I72" s="2" t="str">
        <f t="shared" ref="I72" si="93">IFERROR((I71/H71)-1,"N/A")</f>
        <v>N/A</v>
      </c>
      <c r="J72" s="2" t="str">
        <f t="shared" ref="J72:L72" si="94">IFERROR((J71/I71)-1,"N/A")</f>
        <v>N/A</v>
      </c>
      <c r="K72" s="2" t="str">
        <f t="shared" si="94"/>
        <v>N/A</v>
      </c>
      <c r="L72" s="2" t="str">
        <f t="shared" si="94"/>
        <v>N/A</v>
      </c>
      <c r="M72" s="2" t="str">
        <f>IFERROR((M71/H71)-1,"N/A")</f>
        <v>N/A</v>
      </c>
    </row>
    <row r="73" spans="1:13" x14ac:dyDescent="0.3">
      <c r="A73" s="8" t="s">
        <v>6</v>
      </c>
      <c r="B73" s="10"/>
      <c r="C73" s="10"/>
      <c r="D73" s="10"/>
      <c r="E73" s="10"/>
      <c r="F73" s="10"/>
      <c r="G73" s="10"/>
      <c r="H73" s="10"/>
      <c r="I73" s="10"/>
      <c r="J73" s="10"/>
      <c r="K73" s="10"/>
      <c r="L73" s="10"/>
      <c r="M73" s="10"/>
    </row>
    <row r="74" spans="1:13" x14ac:dyDescent="0.3">
      <c r="A74" s="31" t="s">
        <v>47</v>
      </c>
      <c r="B74" s="34"/>
      <c r="C74" s="34"/>
      <c r="D74" s="34"/>
      <c r="E74" s="34"/>
      <c r="F74" s="34"/>
      <c r="G74" s="34"/>
      <c r="H74" s="41"/>
      <c r="I74" s="41"/>
      <c r="J74" s="41"/>
      <c r="K74" s="41"/>
      <c r="L74" s="41"/>
      <c r="M74" s="41"/>
    </row>
    <row r="75" spans="1:13" x14ac:dyDescent="0.3">
      <c r="A75" s="31" t="s">
        <v>462</v>
      </c>
      <c r="B75" s="5">
        <f t="shared" ref="B75:M75" si="95">IFERROR(-B24*100/B52,"N/A")</f>
        <v>14.804082146906891</v>
      </c>
      <c r="C75" s="5">
        <f t="shared" si="95"/>
        <v>15.60337044839001</v>
      </c>
      <c r="D75" s="5">
        <f t="shared" si="95"/>
        <v>15.860203065304969</v>
      </c>
      <c r="E75" s="5">
        <f t="shared" si="95"/>
        <v>15.847345165006635</v>
      </c>
      <c r="F75" s="5">
        <f t="shared" si="95"/>
        <v>15.700577893867829</v>
      </c>
      <c r="G75" s="5">
        <f t="shared" si="95"/>
        <v>14.042116457073611</v>
      </c>
      <c r="H75" s="5">
        <f t="shared" si="95"/>
        <v>12.901451588551215</v>
      </c>
      <c r="I75" s="5">
        <f t="shared" si="95"/>
        <v>12.946894445947512</v>
      </c>
      <c r="J75" s="5">
        <f t="shared" si="95"/>
        <v>13.340428986343875</v>
      </c>
      <c r="K75" s="5">
        <f t="shared" ref="K75:L75" si="96">IFERROR(-K24*100/K52,"N/A")</f>
        <v>13.73499742939706</v>
      </c>
      <c r="L75" s="5">
        <f t="shared" si="96"/>
        <v>19.757048510728588</v>
      </c>
      <c r="M75" s="5">
        <f t="shared" si="95"/>
        <v>25.23394006396336</v>
      </c>
    </row>
    <row r="76" spans="1:13" x14ac:dyDescent="0.3">
      <c r="A76" s="31" t="s">
        <v>0</v>
      </c>
      <c r="B76" s="40"/>
      <c r="C76" s="2">
        <f t="shared" ref="C76:H76" si="97">IFERROR((C75/B75)-1,"N/A")</f>
        <v>5.3991074458480837E-2</v>
      </c>
      <c r="D76" s="2">
        <f t="shared" si="97"/>
        <v>1.6460073018484289E-2</v>
      </c>
      <c r="E76" s="2">
        <f t="shared" si="97"/>
        <v>-8.1070212313116841E-4</v>
      </c>
      <c r="F76" s="2">
        <f t="shared" si="97"/>
        <v>-9.2613159876703266E-3</v>
      </c>
      <c r="G76" s="2">
        <f t="shared" si="97"/>
        <v>-0.10563059831332466</v>
      </c>
      <c r="H76" s="2">
        <f t="shared" si="97"/>
        <v>-8.1231691248921045E-2</v>
      </c>
      <c r="I76" s="2">
        <f t="shared" ref="I76" si="98">IFERROR((I75/H75)-1,"N/A")</f>
        <v>3.5223057719042661E-3</v>
      </c>
      <c r="J76" s="2">
        <f t="shared" ref="J76:L76" si="99">IFERROR((J75/I75)-1,"N/A")</f>
        <v>3.0396056910739988E-2</v>
      </c>
      <c r="K76" s="2">
        <f t="shared" si="99"/>
        <v>2.957689317615575E-2</v>
      </c>
      <c r="L76" s="2">
        <f t="shared" si="99"/>
        <v>0.43844573777949991</v>
      </c>
      <c r="M76" s="2">
        <f>IFERROR((M75/H75)-1,"N/A")</f>
        <v>0.9558992948015268</v>
      </c>
    </row>
    <row r="77" spans="1:13" x14ac:dyDescent="0.3">
      <c r="A77" s="31" t="s">
        <v>463</v>
      </c>
      <c r="B77" s="5">
        <f t="shared" ref="B77:M77" si="100">IFERROR(-B16*100/B52, "N/A")</f>
        <v>4.176641048255008</v>
      </c>
      <c r="C77" s="5">
        <f t="shared" si="100"/>
        <v>5.0782425519109236</v>
      </c>
      <c r="D77" s="5">
        <f t="shared" si="100"/>
        <v>5.2936716764036928</v>
      </c>
      <c r="E77" s="5">
        <f t="shared" si="100"/>
        <v>5.1536318959357184</v>
      </c>
      <c r="F77" s="5">
        <f t="shared" si="100"/>
        <v>5.0711201938042194</v>
      </c>
      <c r="G77" s="5">
        <f t="shared" si="100"/>
        <v>3.0468276638102658</v>
      </c>
      <c r="H77" s="5">
        <f t="shared" si="100"/>
        <v>2.4577788322584819</v>
      </c>
      <c r="I77" s="5">
        <f t="shared" si="100"/>
        <v>2.8282379314343138</v>
      </c>
      <c r="J77" s="5">
        <f t="shared" si="100"/>
        <v>3.5799974744285894</v>
      </c>
      <c r="K77" s="5">
        <f t="shared" ref="K77:L77" si="101">IFERROR(-K16*100/K52, "N/A")</f>
        <v>3.423333983370858</v>
      </c>
      <c r="L77" s="5">
        <f t="shared" si="101"/>
        <v>3.5063522796594437</v>
      </c>
      <c r="M77" s="5">
        <f t="shared" si="100"/>
        <v>4.3352943499032657</v>
      </c>
    </row>
    <row r="78" spans="1:13" x14ac:dyDescent="0.3">
      <c r="A78" s="31" t="s">
        <v>0</v>
      </c>
      <c r="B78" s="40"/>
      <c r="C78" s="2">
        <f t="shared" ref="C78:H78" si="102">IFERROR((C77/B77)-1,"N/A")</f>
        <v>0.21586760586778286</v>
      </c>
      <c r="D78" s="2">
        <f t="shared" si="102"/>
        <v>4.242198404085773E-2</v>
      </c>
      <c r="E78" s="2">
        <f t="shared" si="102"/>
        <v>-2.6454187004493646E-2</v>
      </c>
      <c r="F78" s="2">
        <f t="shared" si="102"/>
        <v>-1.6010398840586526E-2</v>
      </c>
      <c r="G78" s="2">
        <f t="shared" si="102"/>
        <v>-0.39918054643374234</v>
      </c>
      <c r="H78" s="2">
        <f t="shared" si="102"/>
        <v>-0.19333185087834548</v>
      </c>
      <c r="I78" s="2">
        <f t="shared" ref="I78" si="103">IFERROR((I77/H77)-1,"N/A")</f>
        <v>0.15072922523114607</v>
      </c>
      <c r="J78" s="2">
        <f t="shared" ref="J78:L78" si="104">IFERROR((J77/I77)-1,"N/A")</f>
        <v>0.26580491501046666</v>
      </c>
      <c r="K78" s="2">
        <f t="shared" si="104"/>
        <v>-4.3760782563886269E-2</v>
      </c>
      <c r="L78" s="2">
        <f t="shared" si="104"/>
        <v>2.4250714856293376E-2</v>
      </c>
      <c r="M78" s="2">
        <f>IFERROR((M77/H77)-1,"N/A")</f>
        <v>0.76390743259820204</v>
      </c>
    </row>
    <row r="79" spans="1:13" x14ac:dyDescent="0.3">
      <c r="A79" s="31" t="s">
        <v>464</v>
      </c>
      <c r="B79" s="5">
        <f t="shared" ref="B79:M79" si="105">IFERROR(-(B24-B16)*100/B52, "N/A")</f>
        <v>10.627441098651884</v>
      </c>
      <c r="C79" s="5">
        <f t="shared" si="105"/>
        <v>10.525127896479086</v>
      </c>
      <c r="D79" s="5">
        <f t="shared" si="105"/>
        <v>10.566531388901277</v>
      </c>
      <c r="E79" s="5">
        <f t="shared" si="105"/>
        <v>10.693713269070917</v>
      </c>
      <c r="F79" s="5">
        <f t="shared" si="105"/>
        <v>10.629457700063609</v>
      </c>
      <c r="G79" s="5">
        <f t="shared" si="105"/>
        <v>10.995288793263345</v>
      </c>
      <c r="H79" s="5">
        <f t="shared" si="105"/>
        <v>10.443672756292733</v>
      </c>
      <c r="I79" s="5">
        <f t="shared" si="105"/>
        <v>10.1186565145132</v>
      </c>
      <c r="J79" s="5">
        <f t="shared" si="105"/>
        <v>9.7604315119152858</v>
      </c>
      <c r="K79" s="5">
        <f t="shared" ref="K79:L79" si="106">IFERROR(-(K24-K16)*100/K52, "N/A")</f>
        <v>10.311663446026202</v>
      </c>
      <c r="L79" s="5">
        <f t="shared" si="106"/>
        <v>16.250696231069146</v>
      </c>
      <c r="M79" s="5">
        <f t="shared" si="105"/>
        <v>20.898645714060095</v>
      </c>
    </row>
    <row r="80" spans="1:13" x14ac:dyDescent="0.3">
      <c r="A80" s="31" t="s">
        <v>0</v>
      </c>
      <c r="B80" s="40"/>
      <c r="C80" s="2">
        <f t="shared" ref="C80:H80" si="107">IFERROR((C79/B79)-1,"N/A")</f>
        <v>-9.6272659827563167E-3</v>
      </c>
      <c r="D80" s="2">
        <f t="shared" si="107"/>
        <v>3.9337757060453615E-3</v>
      </c>
      <c r="E80" s="2">
        <f t="shared" si="107"/>
        <v>1.2036294171541284E-2</v>
      </c>
      <c r="F80" s="2">
        <f t="shared" si="107"/>
        <v>-6.0087237604502519E-3</v>
      </c>
      <c r="G80" s="2">
        <f t="shared" si="107"/>
        <v>3.4416722237630815E-2</v>
      </c>
      <c r="H80" s="2">
        <f t="shared" si="107"/>
        <v>-5.016839915187854E-2</v>
      </c>
      <c r="I80" s="2">
        <f t="shared" ref="I80" si="108">IFERROR((I79/H79)-1,"N/A")</f>
        <v>-3.1120875707609463E-2</v>
      </c>
      <c r="J80" s="2">
        <f t="shared" ref="J80:L80" si="109">IFERROR((J79/I79)-1,"N/A")</f>
        <v>-3.5402427395782365E-2</v>
      </c>
      <c r="K80" s="2">
        <f t="shared" si="109"/>
        <v>5.6476184832400689E-2</v>
      </c>
      <c r="L80" s="2">
        <f t="shared" si="109"/>
        <v>0.57595293098240763</v>
      </c>
      <c r="M80" s="2">
        <f>IFERROR((M79/H79)-1,"N/A")</f>
        <v>1.0010820141283938</v>
      </c>
    </row>
    <row r="81" spans="1:13" x14ac:dyDescent="0.3">
      <c r="A81" s="31" t="s">
        <v>48</v>
      </c>
      <c r="B81" s="2">
        <f t="shared" ref="B81:M81" si="110">IFERROR(B26/B13, "N/A")</f>
        <v>0.12849990728722419</v>
      </c>
      <c r="C81" s="2">
        <f t="shared" si="110"/>
        <v>0.10695831898036513</v>
      </c>
      <c r="D81" s="2">
        <f t="shared" si="110"/>
        <v>0.11971947194719472</v>
      </c>
      <c r="E81" s="2">
        <f t="shared" si="110"/>
        <v>0.12235503149733484</v>
      </c>
      <c r="F81" s="2">
        <f t="shared" si="110"/>
        <v>0.12590415913200723</v>
      </c>
      <c r="G81" s="2">
        <f t="shared" si="110"/>
        <v>0.18113642918950101</v>
      </c>
      <c r="H81" s="2">
        <f t="shared" si="110"/>
        <v>0.18491517340055869</v>
      </c>
      <c r="I81" s="2">
        <f t="shared" si="110"/>
        <v>0.17554762490770368</v>
      </c>
      <c r="J81" s="2">
        <f t="shared" si="110"/>
        <v>0.17847025495750707</v>
      </c>
      <c r="K81" s="2">
        <f t="shared" ref="K81:L81" si="111">IFERROR(K26/K13, "N/A")</f>
        <v>0.19005802101301553</v>
      </c>
      <c r="L81" s="2">
        <f t="shared" si="111"/>
        <v>-0.27704440253728785</v>
      </c>
      <c r="M81" s="2">
        <f t="shared" si="110"/>
        <v>-0.42148576512455516</v>
      </c>
    </row>
    <row r="82" spans="1:13" x14ac:dyDescent="0.3">
      <c r="A82" s="31" t="s">
        <v>465</v>
      </c>
      <c r="B82" s="2">
        <f>IFERROR(B75/B63,"")</f>
        <v>0.71199866620693031</v>
      </c>
      <c r="C82" s="2">
        <f t="shared" ref="C82:M82" si="112">IFERROR(C75/C63,"")</f>
        <v>0.72860967604465343</v>
      </c>
      <c r="D82" s="2">
        <f t="shared" si="112"/>
        <v>0.7281822275346207</v>
      </c>
      <c r="E82" s="2">
        <f t="shared" si="112"/>
        <v>0.72685073434492953</v>
      </c>
      <c r="F82" s="2">
        <f t="shared" si="112"/>
        <v>0.72890808281235686</v>
      </c>
      <c r="G82" s="2">
        <f t="shared" si="112"/>
        <v>0.68393045579249867</v>
      </c>
      <c r="H82" s="2">
        <f t="shared" si="112"/>
        <v>0.67228719693669381</v>
      </c>
      <c r="I82" s="2">
        <f t="shared" ref="I82:J82" si="113">IFERROR(I75/I63,"")</f>
        <v>0.67823021932354999</v>
      </c>
      <c r="J82" s="2">
        <f t="shared" si="113"/>
        <v>0.68439816762690686</v>
      </c>
      <c r="K82" s="2">
        <f t="shared" ref="K82:L82" si="114">IFERROR(K75/K63,"")</f>
        <v>0.67567916631270997</v>
      </c>
      <c r="L82" s="2">
        <f t="shared" si="114"/>
        <v>0.78713192240840324</v>
      </c>
      <c r="M82" s="2">
        <f t="shared" si="112"/>
        <v>0.77817744436577396</v>
      </c>
    </row>
    <row r="83" spans="1:13" x14ac:dyDescent="0.3">
      <c r="A83" s="31" t="s">
        <v>466</v>
      </c>
      <c r="B83" s="5">
        <f t="shared" ref="B83:M83" si="115">IFERROR((B13-B30)*100/B52, "N/A")</f>
        <v>16.418357061862164</v>
      </c>
      <c r="C83" s="5">
        <f t="shared" si="115"/>
        <v>17.202828769184471</v>
      </c>
      <c r="D83" s="5">
        <f t="shared" si="115"/>
        <v>17.367583879647388</v>
      </c>
      <c r="E83" s="5">
        <f t="shared" si="115"/>
        <v>17.153981887915069</v>
      </c>
      <c r="F83" s="5">
        <f t="shared" si="115"/>
        <v>16.859072392372344</v>
      </c>
      <c r="G83" s="5">
        <f t="shared" si="115"/>
        <v>15.288545955905084</v>
      </c>
      <c r="H83" s="5">
        <f t="shared" si="115"/>
        <v>14.279705799883528</v>
      </c>
      <c r="I83" s="5">
        <f t="shared" si="115"/>
        <v>14.356665249487882</v>
      </c>
      <c r="J83" s="5">
        <f t="shared" si="115"/>
        <v>14.88914545487345</v>
      </c>
      <c r="K83" s="5">
        <f t="shared" ref="K83:L83" si="116">IFERROR((K13-K30)*100/K52, "N/A")</f>
        <v>15.495417235449501</v>
      </c>
      <c r="L83" s="5">
        <f t="shared" si="116"/>
        <v>24.661167546349098</v>
      </c>
      <c r="M83" s="5">
        <f t="shared" si="115"/>
        <v>31.768468432897699</v>
      </c>
    </row>
    <row r="84" spans="1:13" x14ac:dyDescent="0.3">
      <c r="A84" s="31" t="s">
        <v>0</v>
      </c>
      <c r="B84" s="40"/>
      <c r="C84" s="2">
        <f t="shared" ref="C84:H84" si="117">IFERROR((C83/B83)-1,"N/A")</f>
        <v>4.7780158779987758E-2</v>
      </c>
      <c r="D84" s="2">
        <f t="shared" si="117"/>
        <v>9.5772103921678564E-3</v>
      </c>
      <c r="E84" s="2">
        <f t="shared" si="117"/>
        <v>-1.2298889310828787E-2</v>
      </c>
      <c r="F84" s="2">
        <f t="shared" si="117"/>
        <v>-1.7191897337287543E-2</v>
      </c>
      <c r="G84" s="2">
        <f t="shared" si="117"/>
        <v>-9.3156159479914402E-2</v>
      </c>
      <c r="H84" s="2">
        <f t="shared" si="117"/>
        <v>-6.5986664718229782E-2</v>
      </c>
      <c r="I84" s="2">
        <f t="shared" ref="I84" si="118">IFERROR((I83/H83)-1,"N/A")</f>
        <v>5.3894282335271715E-3</v>
      </c>
      <c r="J84" s="2">
        <f t="shared" ref="J84:L84" si="119">IFERROR((J83/I83)-1,"N/A")</f>
        <v>3.7089407333263713E-2</v>
      </c>
      <c r="K84" s="2">
        <f t="shared" si="119"/>
        <v>4.0719044784239822E-2</v>
      </c>
      <c r="L84" s="2">
        <f t="shared" si="119"/>
        <v>0.59151361797026891</v>
      </c>
      <c r="M84" s="2">
        <f>IFERROR((M83/H83)-1,"N/A")</f>
        <v>1.2247284977787718</v>
      </c>
    </row>
    <row r="85" spans="1:13" x14ac:dyDescent="0.3">
      <c r="A85" s="31" t="s">
        <v>467</v>
      </c>
      <c r="B85" s="5">
        <f t="shared" ref="B85:M85" si="120">IFERROR((B13-B30+B16)*100/B52,"N/A")</f>
        <v>12.241716013607157</v>
      </c>
      <c r="C85" s="5">
        <f t="shared" si="120"/>
        <v>12.124586217273547</v>
      </c>
      <c r="D85" s="5">
        <f t="shared" si="120"/>
        <v>12.073912203243694</v>
      </c>
      <c r="E85" s="5">
        <f t="shared" si="120"/>
        <v>12.00034999197935</v>
      </c>
      <c r="F85" s="5">
        <f t="shared" si="120"/>
        <v>11.787952198568123</v>
      </c>
      <c r="G85" s="5">
        <f t="shared" si="120"/>
        <v>12.241718292094818</v>
      </c>
      <c r="H85" s="5">
        <f t="shared" si="120"/>
        <v>11.821926967625046</v>
      </c>
      <c r="I85" s="5">
        <f t="shared" si="120"/>
        <v>11.52842731805357</v>
      </c>
      <c r="J85" s="5">
        <f t="shared" si="120"/>
        <v>11.309147980444861</v>
      </c>
      <c r="K85" s="5">
        <f t="shared" ref="K85:L85" si="121">IFERROR((K13-K30+K16)*100/K52,"N/A")</f>
        <v>12.072083252078643</v>
      </c>
      <c r="L85" s="5">
        <f t="shared" si="121"/>
        <v>21.154815266689653</v>
      </c>
      <c r="M85" s="5">
        <f t="shared" si="120"/>
        <v>27.433174082994434</v>
      </c>
    </row>
    <row r="86" spans="1:13" x14ac:dyDescent="0.3">
      <c r="A86" s="31" t="s">
        <v>0</v>
      </c>
      <c r="B86" s="40"/>
      <c r="C86" s="2">
        <f t="shared" ref="C86:H86" si="122">IFERROR((C85/B85)-1,"N/A")</f>
        <v>-9.5680863862072085E-3</v>
      </c>
      <c r="D86" s="2">
        <f t="shared" si="122"/>
        <v>-4.1794427555523761E-3</v>
      </c>
      <c r="E86" s="2">
        <f t="shared" si="122"/>
        <v>-6.0926574606514627E-3</v>
      </c>
      <c r="F86" s="2">
        <f t="shared" si="122"/>
        <v>-1.7699299899851861E-2</v>
      </c>
      <c r="G86" s="2">
        <f t="shared" si="122"/>
        <v>3.8494056124677378E-2</v>
      </c>
      <c r="H86" s="2">
        <f t="shared" si="122"/>
        <v>-3.4291862829489816E-2</v>
      </c>
      <c r="I86" s="2">
        <f t="shared" ref="I86" si="123">IFERROR((I85/H85)-1,"N/A")</f>
        <v>-2.4826718213979859E-2</v>
      </c>
      <c r="J86" s="2">
        <f t="shared" ref="J86:L86" si="124">IFERROR((J85/I85)-1,"N/A")</f>
        <v>-1.902075032084527E-2</v>
      </c>
      <c r="K86" s="2">
        <f t="shared" si="124"/>
        <v>6.7461781643763707E-2</v>
      </c>
      <c r="L86" s="2">
        <f t="shared" si="124"/>
        <v>0.75237486562620326</v>
      </c>
      <c r="M86" s="2">
        <f>IFERROR((M85/H85)-1,"N/A")</f>
        <v>1.3205332056374219</v>
      </c>
    </row>
    <row r="87" spans="1:13" x14ac:dyDescent="0.3">
      <c r="A87" s="31" t="s">
        <v>468</v>
      </c>
      <c r="B87" s="5">
        <f>IFERROR('Revenue Analysis Reported'!B52-'Cost Analysis Reported'!B71, "N/A")</f>
        <v>0.5685397505354679</v>
      </c>
      <c r="C87" s="5">
        <f>IFERROR('Revenue Analysis Reported'!C52-'Cost Analysis Reported'!C71, "N/A")</f>
        <v>0.26933493830875932</v>
      </c>
      <c r="D87" s="5">
        <f>IFERROR('Revenue Analysis Reported'!D52-'Cost Analysis Reported'!D71, "N/A")</f>
        <v>0.64963058764066517</v>
      </c>
      <c r="E87" s="5">
        <f>IFERROR('Revenue Analysis Reported'!E52-'Cost Analysis Reported'!E71, "N/A")</f>
        <v>0.90268764674142687</v>
      </c>
      <c r="F87" s="5">
        <f>IFERROR('Revenue Analysis Reported'!F52-'Cost Analysis Reported'!F71, "N/A")</f>
        <v>1.1030058601415611</v>
      </c>
      <c r="G87" s="5">
        <f>IFERROR('Revenue Analysis Reported'!G52-'Cost Analysis Reported'!G71, "N/A")</f>
        <v>1.8597519506374329</v>
      </c>
      <c r="H87" s="5">
        <f>IFERROR('Revenue Analysis Reported'!H52-'Cost Analysis Reported'!H71, "N/A")</f>
        <v>1.5486487069430357</v>
      </c>
      <c r="I87" s="5">
        <f>IFERROR('Revenue Analysis Reported'!I52-'Cost Analysis Reported'!I71, "N/A")</f>
        <v>1.3469640165423424</v>
      </c>
      <c r="J87" s="5">
        <f>IFERROR('Revenue Analysis Reported'!J52-'Cost Analysis Reported'!J71, "N/A")</f>
        <v>1.3493767250554747</v>
      </c>
      <c r="K87" s="5">
        <f>IFERROR('Revenue Analysis Reported'!K52-'Cost Analysis Reported'!K71, "N/A")</f>
        <v>1.4625844310103346</v>
      </c>
      <c r="L87" s="5">
        <f>IFERROR('Revenue Analysis Reported'!M52-'Cost Analysis Reported'!M71, "N/A")</f>
        <v>-14.016662060251907</v>
      </c>
      <c r="M87" s="5">
        <f>IFERROR('Revenue Analysis Reported'!M52-'Cost Analysis Reported'!M71, "N/A")</f>
        <v>-14.016662060251907</v>
      </c>
    </row>
    <row r="88" spans="1:13" x14ac:dyDescent="0.3">
      <c r="A88" s="31" t="s">
        <v>49</v>
      </c>
      <c r="B88" s="2">
        <f>IFERROR(B83/B63,"N/A")</f>
        <v>0.78963681863906898</v>
      </c>
      <c r="C88" s="2">
        <f t="shared" ref="C88:M88" si="125">IFERROR(C83/C63,"N/A")</f>
        <v>0.80329743743669446</v>
      </c>
      <c r="D88" s="2">
        <f t="shared" si="125"/>
        <v>0.79738991135879411</v>
      </c>
      <c r="E88" s="2">
        <f t="shared" si="125"/>
        <v>0.7867806375356039</v>
      </c>
      <c r="F88" s="2">
        <f t="shared" si="125"/>
        <v>0.78269183584118018</v>
      </c>
      <c r="G88" s="2">
        <f t="shared" si="125"/>
        <v>0.74463861882867677</v>
      </c>
      <c r="H88" s="2">
        <f t="shared" si="125"/>
        <v>0.74410722850779598</v>
      </c>
      <c r="I88" s="2">
        <f t="shared" ref="I88:J88" si="126">IFERROR(I83/I63,"N/A")</f>
        <v>0.75208184183217441</v>
      </c>
      <c r="J88" s="2">
        <f t="shared" si="126"/>
        <v>0.7638512882364672</v>
      </c>
      <c r="K88" s="2">
        <f t="shared" ref="K88:L88" si="127">IFERROR(K83/K63,"N/A")</f>
        <v>0.76228122015569433</v>
      </c>
      <c r="L88" s="2">
        <f t="shared" si="127"/>
        <v>0.98251478246118062</v>
      </c>
      <c r="M88" s="2">
        <f t="shared" si="125"/>
        <v>0.97969264862572636</v>
      </c>
    </row>
    <row r="89" spans="1:13" x14ac:dyDescent="0.3">
      <c r="A89" s="8" t="s">
        <v>9</v>
      </c>
      <c r="B89" s="10"/>
      <c r="C89" s="10"/>
      <c r="D89" s="10"/>
      <c r="E89" s="10"/>
      <c r="F89" s="10"/>
      <c r="G89" s="10"/>
      <c r="H89" s="10"/>
      <c r="I89" s="10"/>
      <c r="J89" s="10"/>
      <c r="K89" s="10"/>
      <c r="L89" s="10"/>
      <c r="M89" s="10"/>
    </row>
    <row r="90" spans="1:13" x14ac:dyDescent="0.3">
      <c r="A90" s="31" t="s">
        <v>50</v>
      </c>
      <c r="B90" s="21">
        <f t="shared" ref="B90:M90" si="128">B38</f>
        <v>-377</v>
      </c>
      <c r="C90" s="21">
        <f t="shared" si="128"/>
        <v>-316</v>
      </c>
      <c r="D90" s="21">
        <f t="shared" si="128"/>
        <v>-286</v>
      </c>
      <c r="E90" s="21">
        <f t="shared" si="128"/>
        <v>-351</v>
      </c>
      <c r="F90" s="21">
        <f t="shared" si="128"/>
        <v>-292</v>
      </c>
      <c r="G90" s="21">
        <f t="shared" si="128"/>
        <v>-319</v>
      </c>
      <c r="H90" s="21">
        <f t="shared" si="128"/>
        <v>-316</v>
      </c>
      <c r="I90" s="21">
        <f t="shared" si="128"/>
        <v>-275</v>
      </c>
      <c r="J90" s="21">
        <f t="shared" si="128"/>
        <v>-532</v>
      </c>
      <c r="K90" s="21">
        <f t="shared" ref="K90:L90" si="129">K38</f>
        <v>-480</v>
      </c>
      <c r="L90" s="21">
        <f t="shared" si="129"/>
        <v>-656</v>
      </c>
      <c r="M90" s="21">
        <f t="shared" si="128"/>
        <v>-721</v>
      </c>
    </row>
    <row r="91" spans="1:13" x14ac:dyDescent="0.3">
      <c r="A91" s="31" t="s">
        <v>51</v>
      </c>
      <c r="B91" s="45">
        <f t="shared" ref="B91:M91" si="130">B39</f>
        <v>19</v>
      </c>
      <c r="C91" s="45">
        <f t="shared" si="130"/>
        <v>36</v>
      </c>
      <c r="D91" s="45">
        <f t="shared" si="130"/>
        <v>37</v>
      </c>
      <c r="E91" s="45">
        <f t="shared" si="130"/>
        <v>32</v>
      </c>
      <c r="F91" s="45">
        <f t="shared" si="130"/>
        <v>39</v>
      </c>
      <c r="G91" s="45">
        <f t="shared" si="130"/>
        <v>46</v>
      </c>
      <c r="H91" s="45">
        <f t="shared" si="130"/>
        <v>48</v>
      </c>
      <c r="I91" s="45">
        <f t="shared" si="130"/>
        <v>60</v>
      </c>
      <c r="J91" s="45">
        <f t="shared" si="130"/>
        <v>108</v>
      </c>
      <c r="K91" s="45">
        <f t="shared" ref="K91:L91" si="131">K39</f>
        <v>164</v>
      </c>
      <c r="L91" s="45">
        <f t="shared" si="131"/>
        <v>132</v>
      </c>
      <c r="M91" s="45">
        <f t="shared" si="130"/>
        <v>80</v>
      </c>
    </row>
    <row r="92" spans="1:13" s="44" customFormat="1" x14ac:dyDescent="0.3">
      <c r="A92" s="42" t="s">
        <v>52</v>
      </c>
      <c r="B92" s="43">
        <f t="shared" ref="B92:M92" si="132">B90+B91</f>
        <v>-358</v>
      </c>
      <c r="C92" s="43">
        <f t="shared" si="132"/>
        <v>-280</v>
      </c>
      <c r="D92" s="43">
        <f t="shared" si="132"/>
        <v>-249</v>
      </c>
      <c r="E92" s="43">
        <f t="shared" si="132"/>
        <v>-319</v>
      </c>
      <c r="F92" s="43">
        <f t="shared" si="132"/>
        <v>-253</v>
      </c>
      <c r="G92" s="43">
        <f t="shared" si="132"/>
        <v>-273</v>
      </c>
      <c r="H92" s="43">
        <f t="shared" si="132"/>
        <v>-268</v>
      </c>
      <c r="I92" s="43">
        <f t="shared" ref="I92:J92" si="133">I90+I91</f>
        <v>-215</v>
      </c>
      <c r="J92" s="43">
        <f t="shared" si="133"/>
        <v>-424</v>
      </c>
      <c r="K92" s="43">
        <f t="shared" ref="K92:L92" si="134">K90+K91</f>
        <v>-316</v>
      </c>
      <c r="L92" s="43">
        <f t="shared" si="134"/>
        <v>-524</v>
      </c>
      <c r="M92" s="43">
        <f t="shared" si="132"/>
        <v>-641</v>
      </c>
    </row>
    <row r="93" spans="1:13" x14ac:dyDescent="0.3">
      <c r="A93" s="31" t="s">
        <v>53</v>
      </c>
      <c r="B93" s="21">
        <f t="shared" ref="B93:M93" si="135">B27</f>
        <v>-346</v>
      </c>
      <c r="C93" s="21">
        <f t="shared" si="135"/>
        <v>-335</v>
      </c>
      <c r="D93" s="21">
        <f t="shared" si="135"/>
        <v>-336</v>
      </c>
      <c r="E93" s="21">
        <f t="shared" si="135"/>
        <v>-318</v>
      </c>
      <c r="F93" s="21">
        <f t="shared" si="135"/>
        <v>-313</v>
      </c>
      <c r="G93" s="21">
        <f t="shared" si="135"/>
        <v>-353</v>
      </c>
      <c r="H93" s="21">
        <f t="shared" si="135"/>
        <v>-462</v>
      </c>
      <c r="I93" s="21">
        <f t="shared" si="135"/>
        <v>-503</v>
      </c>
      <c r="J93" s="21">
        <f t="shared" si="135"/>
        <v>0</v>
      </c>
      <c r="K93" s="21">
        <f t="shared" ref="K93:L93" si="136">K27</f>
        <v>0</v>
      </c>
      <c r="L93" s="21">
        <f t="shared" si="136"/>
        <v>0</v>
      </c>
      <c r="M93" s="21">
        <f t="shared" si="135"/>
        <v>0</v>
      </c>
    </row>
    <row r="94" spans="1:13" x14ac:dyDescent="0.3">
      <c r="A94" s="31" t="s">
        <v>54</v>
      </c>
      <c r="B94" s="21">
        <f>B21</f>
        <v>0</v>
      </c>
      <c r="C94" s="21">
        <f t="shared" ref="C94:M94" si="137">C21</f>
        <v>0</v>
      </c>
      <c r="D94" s="21">
        <f t="shared" si="137"/>
        <v>0</v>
      </c>
      <c r="E94" s="21">
        <f t="shared" si="137"/>
        <v>0</v>
      </c>
      <c r="F94" s="21">
        <f t="shared" si="137"/>
        <v>0</v>
      </c>
      <c r="G94" s="21">
        <f t="shared" si="137"/>
        <v>0</v>
      </c>
      <c r="H94" s="21">
        <f t="shared" si="137"/>
        <v>0</v>
      </c>
      <c r="I94" s="21">
        <f t="shared" si="137"/>
        <v>0</v>
      </c>
      <c r="J94" s="21">
        <f t="shared" si="137"/>
        <v>0</v>
      </c>
      <c r="K94" s="21">
        <f t="shared" ref="K94:L94" si="138">K21</f>
        <v>0</v>
      </c>
      <c r="L94" s="21">
        <f t="shared" si="138"/>
        <v>0</v>
      </c>
      <c r="M94" s="21">
        <f t="shared" si="137"/>
        <v>0</v>
      </c>
    </row>
    <row r="95" spans="1:13" x14ac:dyDescent="0.3">
      <c r="A95" s="14" t="s">
        <v>55</v>
      </c>
      <c r="B95" s="43">
        <f t="shared" ref="B95:M95" si="139">SUM(B92:B94)</f>
        <v>-704</v>
      </c>
      <c r="C95" s="43">
        <f t="shared" si="139"/>
        <v>-615</v>
      </c>
      <c r="D95" s="43">
        <f t="shared" si="139"/>
        <v>-585</v>
      </c>
      <c r="E95" s="43">
        <f t="shared" si="139"/>
        <v>-637</v>
      </c>
      <c r="F95" s="43">
        <f t="shared" si="139"/>
        <v>-566</v>
      </c>
      <c r="G95" s="43">
        <f t="shared" si="139"/>
        <v>-626</v>
      </c>
      <c r="H95" s="43">
        <f t="shared" si="139"/>
        <v>-730</v>
      </c>
      <c r="I95" s="43">
        <f t="shared" ref="I95:J95" si="140">SUM(I92:I94)</f>
        <v>-718</v>
      </c>
      <c r="J95" s="43">
        <f t="shared" si="140"/>
        <v>-424</v>
      </c>
      <c r="K95" s="43">
        <f t="shared" ref="K95:L95" si="141">SUM(K92:K94)</f>
        <v>-316</v>
      </c>
      <c r="L95" s="43">
        <f t="shared" si="141"/>
        <v>-524</v>
      </c>
      <c r="M95" s="43">
        <f t="shared" si="139"/>
        <v>-641</v>
      </c>
    </row>
    <row r="96" spans="1:13" x14ac:dyDescent="0.3">
      <c r="A96" s="8" t="s">
        <v>7</v>
      </c>
      <c r="B96" s="10"/>
      <c r="C96" s="10"/>
      <c r="D96" s="10"/>
      <c r="E96" s="10"/>
      <c r="F96" s="10"/>
      <c r="G96" s="10"/>
      <c r="H96" s="10"/>
      <c r="I96" s="10"/>
      <c r="J96" s="10"/>
      <c r="K96" s="10"/>
      <c r="L96" s="10"/>
      <c r="M96" s="10"/>
    </row>
    <row r="97" spans="1:13" x14ac:dyDescent="0.3">
      <c r="A97" s="31" t="s">
        <v>56</v>
      </c>
      <c r="B97" s="46">
        <f>IFERROR(B26/(-B95+'Balance Sheet Reported'!B35+'Balance Sheet Reported'!B36),"")</f>
        <v>1.1464019851116625</v>
      </c>
      <c r="C97" s="46">
        <f>IFERROR(C26/(-C95+'Balance Sheet Reported'!C35+'Balance Sheet Reported'!C36),"")</f>
        <v>1.1953801732435034</v>
      </c>
      <c r="D97" s="46">
        <f>IFERROR(D26/(-D95+'Balance Sheet Reported'!D35+'Balance Sheet Reported'!D36),"")</f>
        <v>1.3299725022914757</v>
      </c>
      <c r="E97" s="46">
        <f>IFERROR(E26/(-E95+'Balance Sheet Reported'!E35+'Balance Sheet Reported'!E36),"")</f>
        <v>1.4985163204747773</v>
      </c>
      <c r="F97" s="46">
        <f>IFERROR(F26/(-F95+'Balance Sheet Reported'!F35+'Balance Sheet Reported'!F36),"")</f>
        <v>1.5914285714285714</v>
      </c>
      <c r="G97" s="46">
        <f>IFERROR(G26/(-G95+'Balance Sheet Reported'!G35+'Balance Sheet Reported'!G36),"")</f>
        <v>2.1843478260869564</v>
      </c>
      <c r="H97" s="46">
        <f>IFERROR(H26/(-H95+'Balance Sheet Reported'!H35+'Balance Sheet Reported'!H36),"")</f>
        <v>1.8886569241475295</v>
      </c>
      <c r="I97" s="46">
        <f>IFERROR(I26/(-I95+'Balance Sheet Reported'!I35+'Balance Sheet Reported'!I36),"")</f>
        <v>2.0539956803455723</v>
      </c>
      <c r="J97" s="46">
        <f>IFERROR(J26/(-J95+'Balance Sheet Reported'!J35+'Balance Sheet Reported'!J36),"")</f>
        <v>2.1827445652173911</v>
      </c>
      <c r="K97" s="46">
        <f>IFERROR(K26/(-K95+'Balance Sheet Reported'!K35+'Balance Sheet Reported'!K36),"")</f>
        <v>2.3702737940026077</v>
      </c>
      <c r="L97" s="46">
        <f>IFERROR(L26/(-L95+'Balance Sheet Reported'!L35+'Balance Sheet Reported'!L36),"")</f>
        <v>-0.69896193771626303</v>
      </c>
      <c r="M97" s="46">
        <f>IFERROR(M26/(-M95+'Balance Sheet Reported'!M35+'Balance Sheet Reported'!M36),"")</f>
        <v>-1.1443236714975846</v>
      </c>
    </row>
    <row r="98" spans="1:13" x14ac:dyDescent="0.3">
      <c r="A98" s="31" t="s">
        <v>57</v>
      </c>
      <c r="B98" s="46">
        <f t="shared" ref="B98:C98" si="142">IFERROR(B26/-B95,"")</f>
        <v>1.96875</v>
      </c>
      <c r="C98" s="46">
        <f t="shared" si="142"/>
        <v>2.0195121951219512</v>
      </c>
      <c r="D98" s="46">
        <f t="shared" ref="D98:M98" si="143">IFERROR(D26/-D95,"")</f>
        <v>2.4803418803418804</v>
      </c>
      <c r="E98" s="46">
        <f t="shared" si="143"/>
        <v>2.3783359497645211</v>
      </c>
      <c r="F98" s="46">
        <f t="shared" si="143"/>
        <v>2.952296819787986</v>
      </c>
      <c r="G98" s="46">
        <f t="shared" si="143"/>
        <v>4.0127795527156547</v>
      </c>
      <c r="H98" s="46">
        <f t="shared" si="143"/>
        <v>3.7178082191780821</v>
      </c>
      <c r="I98" s="46">
        <f t="shared" si="143"/>
        <v>3.9735376044568245</v>
      </c>
      <c r="J98" s="46">
        <f t="shared" si="143"/>
        <v>7.5778301886792452</v>
      </c>
      <c r="K98" s="46">
        <f t="shared" ref="K98:L98" si="144">IFERROR(K26/-K95,"")</f>
        <v>11.50632911392405</v>
      </c>
      <c r="L98" s="46">
        <f t="shared" si="144"/>
        <v>-3.0839694656488548</v>
      </c>
      <c r="M98" s="46">
        <f t="shared" si="143"/>
        <v>-2.9563182527301093</v>
      </c>
    </row>
    <row r="99" spans="1:13" x14ac:dyDescent="0.3">
      <c r="A99" s="31" t="s">
        <v>58</v>
      </c>
      <c r="B99" s="46">
        <f t="shared" ref="B99:C99" si="145">IFERROR(B28/-B92,"")</f>
        <v>2.9050279329608939</v>
      </c>
      <c r="C99" s="46">
        <f t="shared" si="145"/>
        <v>3.2392857142857143</v>
      </c>
      <c r="D99" s="46">
        <f t="shared" ref="D99:M99" si="146">IFERROR(D28/-D92,"")</f>
        <v>4.4779116465863451</v>
      </c>
      <c r="E99" s="46">
        <f t="shared" si="146"/>
        <v>3.7523510971786833</v>
      </c>
      <c r="F99" s="46">
        <f t="shared" si="146"/>
        <v>5.3675889328063242</v>
      </c>
      <c r="G99" s="46">
        <f t="shared" si="146"/>
        <v>7.9084249084249088</v>
      </c>
      <c r="H99" s="46">
        <f t="shared" si="146"/>
        <v>8.4029850746268657</v>
      </c>
      <c r="I99" s="46">
        <f t="shared" si="146"/>
        <v>10.930232558139535</v>
      </c>
      <c r="J99" s="46">
        <f t="shared" si="146"/>
        <v>7.5778301886792452</v>
      </c>
      <c r="K99" s="46">
        <f t="shared" ref="K99:L99" si="147">IFERROR(K28/-K92,"")</f>
        <v>11.50632911392405</v>
      </c>
      <c r="L99" s="46">
        <f t="shared" si="147"/>
        <v>-3.0839694656488548</v>
      </c>
      <c r="M99" s="46">
        <f t="shared" si="146"/>
        <v>-2.9563182527301093</v>
      </c>
    </row>
    <row r="100" spans="1:13" x14ac:dyDescent="0.3">
      <c r="A100" s="8" t="s">
        <v>4</v>
      </c>
      <c r="B100" s="10"/>
      <c r="C100" s="10"/>
      <c r="D100" s="10"/>
      <c r="E100" s="10"/>
      <c r="F100" s="10"/>
      <c r="G100" s="10"/>
      <c r="H100" s="10"/>
      <c r="I100" s="10"/>
      <c r="J100" s="10"/>
      <c r="K100" s="10"/>
      <c r="L100" s="10"/>
      <c r="M100" s="10"/>
    </row>
    <row r="101" spans="1:13" x14ac:dyDescent="0.3">
      <c r="A101" s="31" t="s">
        <v>59</v>
      </c>
      <c r="B101" s="2">
        <f t="shared" ref="B101:C101" si="148">IFERROR(B30/B13,"")</f>
        <v>3.3469312071203412E-2</v>
      </c>
      <c r="C101" s="2">
        <f t="shared" si="148"/>
        <v>1.5415087840165346E-2</v>
      </c>
      <c r="D101" s="2">
        <f t="shared" ref="D101:M101" si="149">IFERROR(D30/D13,"")</f>
        <v>3.6056105610561058E-2</v>
      </c>
      <c r="E101" s="2">
        <f t="shared" si="149"/>
        <v>4.9991923760297208E-2</v>
      </c>
      <c r="F101" s="2">
        <f t="shared" si="149"/>
        <v>6.1407474382157927E-2</v>
      </c>
      <c r="G101" s="2">
        <f t="shared" si="149"/>
        <v>0.10845111047014711</v>
      </c>
      <c r="H101" s="2">
        <f t="shared" si="149"/>
        <v>9.7840158070450364E-2</v>
      </c>
      <c r="I101" s="2">
        <f t="shared" si="149"/>
        <v>8.5774058577405859E-2</v>
      </c>
      <c r="J101" s="2">
        <f t="shared" si="149"/>
        <v>8.3097261567516525E-2</v>
      </c>
      <c r="K101" s="2">
        <f t="shared" ref="K101:L101" si="150">IFERROR(K30/K13,"")</f>
        <v>8.6247451779833784E-2</v>
      </c>
      <c r="L101" s="2">
        <f t="shared" si="150"/>
        <v>-0.59403394479684557</v>
      </c>
      <c r="M101" s="2">
        <f t="shared" si="149"/>
        <v>-0.78959074733096091</v>
      </c>
    </row>
    <row r="102" spans="1:13" x14ac:dyDescent="0.3">
      <c r="A102" s="31" t="s">
        <v>60</v>
      </c>
      <c r="B102" s="46">
        <f t="shared" ref="B102:C102" si="151">IFERROR(B30/-B90,"")</f>
        <v>0.95755968169761274</v>
      </c>
      <c r="C102" s="46">
        <f t="shared" si="151"/>
        <v>0.56645569620253167</v>
      </c>
      <c r="D102" s="46">
        <f t="shared" ref="D102:M102" si="152">IFERROR(D30/-D90,"")</f>
        <v>1.5279720279720279</v>
      </c>
      <c r="E102" s="46">
        <f t="shared" si="152"/>
        <v>1.7635327635327636</v>
      </c>
      <c r="F102" s="46">
        <f t="shared" si="152"/>
        <v>2.7910958904109591</v>
      </c>
      <c r="G102" s="46">
        <f t="shared" si="152"/>
        <v>4.7147335423197489</v>
      </c>
      <c r="H102" s="46">
        <f t="shared" si="152"/>
        <v>4.5443037974683547</v>
      </c>
      <c r="I102" s="46">
        <f t="shared" si="152"/>
        <v>5.0690909090909093</v>
      </c>
      <c r="J102" s="46">
        <f t="shared" si="152"/>
        <v>2.8120300751879701</v>
      </c>
      <c r="K102" s="46">
        <f t="shared" ref="K102:L102" si="153">IFERROR(K30/-K90,"")</f>
        <v>3.4375</v>
      </c>
      <c r="L102" s="46">
        <f t="shared" si="153"/>
        <v>-5.2820121951219514</v>
      </c>
      <c r="M102" s="46">
        <f t="shared" si="152"/>
        <v>-4.9237170596393893</v>
      </c>
    </row>
    <row r="103" spans="1:13" x14ac:dyDescent="0.3">
      <c r="A103" s="31" t="s">
        <v>61</v>
      </c>
      <c r="B103" s="46">
        <f t="shared" ref="B103:C103" si="154">IFERROR(B30/-B92,"")</f>
        <v>1.0083798882681565</v>
      </c>
      <c r="C103" s="46">
        <f t="shared" si="154"/>
        <v>0.63928571428571423</v>
      </c>
      <c r="D103" s="46">
        <f t="shared" ref="D103:M103" si="155">IFERROR(D30/-D92,"")</f>
        <v>1.7550200803212852</v>
      </c>
      <c r="E103" s="46">
        <f t="shared" si="155"/>
        <v>1.9404388714733543</v>
      </c>
      <c r="F103" s="46">
        <f t="shared" si="155"/>
        <v>3.2213438735177866</v>
      </c>
      <c r="G103" s="46">
        <f t="shared" si="155"/>
        <v>5.5091575091575091</v>
      </c>
      <c r="H103" s="46">
        <f t="shared" si="155"/>
        <v>5.3582089552238807</v>
      </c>
      <c r="I103" s="46">
        <f t="shared" si="155"/>
        <v>6.4837209302325585</v>
      </c>
      <c r="J103" s="46">
        <f t="shared" si="155"/>
        <v>3.5283018867924527</v>
      </c>
      <c r="K103" s="46">
        <f t="shared" ref="K103:L103" si="156">IFERROR(K30/-K92,"")</f>
        <v>5.2215189873417724</v>
      </c>
      <c r="L103" s="46">
        <f t="shared" si="156"/>
        <v>-6.6125954198473282</v>
      </c>
      <c r="M103" s="46">
        <f t="shared" si="155"/>
        <v>-5.538221528861154</v>
      </c>
    </row>
    <row r="104" spans="1:13" x14ac:dyDescent="0.3">
      <c r="A104" s="8" t="s">
        <v>62</v>
      </c>
      <c r="B104" s="10"/>
      <c r="C104" s="10"/>
      <c r="D104" s="10"/>
      <c r="E104" s="10"/>
      <c r="F104" s="10"/>
      <c r="G104" s="10"/>
      <c r="H104" s="10"/>
      <c r="I104" s="10"/>
      <c r="J104" s="10"/>
      <c r="K104" s="10"/>
      <c r="L104" s="10"/>
      <c r="M104" s="10"/>
    </row>
    <row r="105" spans="1:13" x14ac:dyDescent="0.3">
      <c r="A105" s="31" t="s">
        <v>63</v>
      </c>
      <c r="B105" s="40"/>
      <c r="C105" s="2">
        <f>IFERROR(C30/AVERAGE('Balance Sheet Reported'!B34:C34),"")</f>
        <v>1.7742974674133914E-2</v>
      </c>
      <c r="D105" s="2">
        <f>IFERROR(D30/AVERAGE('Balance Sheet Reported'!C34:D34),"")</f>
        <v>4.6755469962017869E-2</v>
      </c>
      <c r="E105" s="2">
        <f>IFERROR(E30/AVERAGE('Balance Sheet Reported'!D34:E34),"")</f>
        <v>6.6810577441985972E-2</v>
      </c>
      <c r="F105" s="2">
        <f>IFERROR(F30/AVERAGE('Balance Sheet Reported'!E34:F34),"")</f>
        <v>8.102197037478874E-2</v>
      </c>
      <c r="G105" s="2">
        <f>IFERROR(G30/AVERAGE('Balance Sheet Reported'!F34:G34),"")</f>
        <v>0.12651945320715036</v>
      </c>
      <c r="H105" s="2">
        <f>IFERROR(H30/AVERAGE('Balance Sheet Reported'!G34:H34),"")</f>
        <v>0.10169611557664389</v>
      </c>
      <c r="I105" s="2">
        <f>IFERROR(I30/AVERAGE('Balance Sheet Reported'!H34:I34),"")</f>
        <v>8.4968913812019986E-2</v>
      </c>
      <c r="J105" s="2">
        <f>IFERROR(J30/AVERAGE('Balance Sheet Reported'!I34:J34),"")</f>
        <v>7.559182436017281E-2</v>
      </c>
      <c r="K105" s="2">
        <f>IFERROR(K30/AVERAGE('Balance Sheet Reported'!J34:K34),"")</f>
        <v>6.6475967930381533E-2</v>
      </c>
      <c r="L105" s="2">
        <f>IFERROR(L30/AVERAGE('Balance Sheet Reported'!K34:M34),"")</f>
        <v>-0.1195212252219105</v>
      </c>
      <c r="M105" s="2">
        <f>IFERROR(M30/AVERAGE('Balance Sheet Reported'!J34:M34),"")</f>
        <v>-0.1304487621147398</v>
      </c>
    </row>
    <row r="106" spans="1:13" x14ac:dyDescent="0.3">
      <c r="A106" s="31" t="s">
        <v>64</v>
      </c>
      <c r="B106" s="40"/>
      <c r="C106" s="2">
        <f>IFERROR(C30/AVERAGE(('Balance Sheet Reported'!B75+'Balance Sheet Reported'!B66),('Balance Sheet Reported'!C66+'Balance Sheet Reported'!C75)),"")</f>
        <v>4.9958135640524697E-2</v>
      </c>
      <c r="D106" s="2">
        <f>IFERROR(D30/AVERAGE(('Balance Sheet Reported'!C75+'Balance Sheet Reported'!C66),('Balance Sheet Reported'!D66+'Balance Sheet Reported'!D75)),"")</f>
        <v>0.57919151756129883</v>
      </c>
      <c r="E106" s="2">
        <f>IFERROR(E30/AVERAGE(('Balance Sheet Reported'!D75+'Balance Sheet Reported'!D66),('Balance Sheet Reported'!E66+'Balance Sheet Reported'!E75)),"")</f>
        <v>0.31800667865399435</v>
      </c>
      <c r="F106" s="2">
        <f>IFERROR(F30/AVERAGE(('Balance Sheet Reported'!E75+'Balance Sheet Reported'!E66),('Balance Sheet Reported'!F66+'Balance Sheet Reported'!F75)),"")</f>
        <v>0.23443118078527253</v>
      </c>
      <c r="G106" s="2">
        <f>IFERROR(G30/AVERAGE(('Balance Sheet Reported'!F75+'Balance Sheet Reported'!F66),('Balance Sheet Reported'!G66+'Balance Sheet Reported'!G75)),"")</f>
        <v>0.2939796716184519</v>
      </c>
      <c r="H106" s="2">
        <f>IFERROR(H30/AVERAGE(('Balance Sheet Reported'!G75+'Balance Sheet Reported'!G66),('Balance Sheet Reported'!H66+'Balance Sheet Reported'!H75)),"")</f>
        <v>0.20048865619546247</v>
      </c>
      <c r="I106" s="2">
        <f>IFERROR(I30/AVERAGE(('Balance Sheet Reported'!H75+'Balance Sheet Reported'!H66),('Balance Sheet Reported'!I66+'Balance Sheet Reported'!I75)),"")</f>
        <v>0.16109088807996763</v>
      </c>
      <c r="J106" s="2">
        <f>IFERROR(J30/AVERAGE(('Balance Sheet Reported'!I75+'Balance Sheet Reported'!I66),('Balance Sheet Reported'!J66+'Balance Sheet Reported'!J75)),"")</f>
        <v>0.16898226589856546</v>
      </c>
      <c r="K106" s="2">
        <f>IFERROR(K30/AVERAGE(('Balance Sheet Reported'!J75+'Balance Sheet Reported'!J66),('Balance Sheet Reported'!K66+'Balance Sheet Reported'!K75)),"")</f>
        <v>0.20315193302142329</v>
      </c>
      <c r="L106" s="2">
        <f>IFERROR(L30/AVERAGE(('Balance Sheet Reported'!K75+'Balance Sheet Reported'!K66),('Balance Sheet Reported'!M66+'Balance Sheet Reported'!M75)),"")</f>
        <v>-0.43645295377251542</v>
      </c>
      <c r="M106" s="2">
        <f>IFERROR(M30/AVERAGE(('Balance Sheet Reported'!J75+'Balance Sheet Reported'!J66),('Balance Sheet Reported'!M66+'Balance Sheet Reported'!M75)),"")</f>
        <v>-0.42729898892633605</v>
      </c>
    </row>
    <row r="107" spans="1:13" x14ac:dyDescent="0.3">
      <c r="A107" s="31" t="s">
        <v>65</v>
      </c>
      <c r="B107" s="40"/>
      <c r="C107" s="2">
        <f>IFERROR(C47/AVERAGE('Balance Sheet Reported'!B66:C66),"")</f>
        <v>0.24320457796852646</v>
      </c>
      <c r="D107" s="2">
        <f>IFERROR(D47/AVERAGE('Balance Sheet Reported'!C66:D66),"")</f>
        <v>-3.456722917800762E-2</v>
      </c>
      <c r="E107" s="2">
        <f>IFERROR(E47/AVERAGE('Balance Sheet Reported'!D66:E66),"")</f>
        <v>-2.5321797847647183E-3</v>
      </c>
      <c r="F107" s="2">
        <f>IFERROR(F47/AVERAGE('Balance Sheet Reported'!E66:F66),"")</f>
        <v>-7.9051383399209488E-2</v>
      </c>
      <c r="G107" s="2">
        <f>IFERROR(G47/AVERAGE('Balance Sheet Reported'!F66:G66),"")</f>
        <v>-0.5544373284537969</v>
      </c>
      <c r="H107" s="2">
        <f>IFERROR(H47/AVERAGE('Balance Sheet Reported'!G66:H66),"")</f>
        <v>1.391580619539317</v>
      </c>
      <c r="I107" s="2">
        <f>IFERROR(I47/AVERAGE('Balance Sheet Reported'!H66:I66),"")</f>
        <v>0.88647237929534584</v>
      </c>
      <c r="J107" s="2">
        <f>IFERROR(J47/AVERAGE('Balance Sheet Reported'!I66:J66),"")</f>
        <v>1.1117788461538462E-2</v>
      </c>
      <c r="K107" s="2">
        <f>IFERROR(K47/AVERAGE('Balance Sheet Reported'!J66:K66),"")</f>
        <v>0.38452520515826494</v>
      </c>
      <c r="L107" s="2">
        <f>IFERROR(L47/AVERAGE('Balance Sheet Reported'!K66:M66),"")</f>
        <v>-2.2289137380191697</v>
      </c>
      <c r="M107" s="2">
        <f>IFERROR(M47/AVERAGE('Balance Sheet Reported'!J66:M66),"")</f>
        <v>-1.7925972528048653</v>
      </c>
    </row>
  </sheetData>
  <mergeCells count="1">
    <mergeCell ref="A1:M1"/>
  </mergeCells>
  <pageMargins left="0.70866141732283472" right="0.70866141732283472" top="0.74803149606299213" bottom="0.74803149606299213" header="0.31496062992125984" footer="0.31496062992125984"/>
  <pageSetup paperSize="9" scale="49" orientation="portrait" r:id="rId1"/>
  <headerFooter alignWithMargins="0"/>
  <rowBreaks count="1" manualBreakCount="1">
    <brk id="72" max="8" man="1"/>
  </rowBreaks>
  <ignoredErrors>
    <ignoredError sqref="B13:G13" formulaRange="1"/>
    <ignoredError sqref="C100:G100 C55:G56 C89:G93 M63:M81 M83:M85 M52 C104:G104 C52:H52 C83:H85 C63:H81 M59 M61 C95:G96 B61:J61 C59:J59" formula="1"/>
  </ignoredError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
    <tabColor theme="4" tint="0.79998168889431442"/>
  </sheetPr>
  <dimension ref="A1:Z108"/>
  <sheetViews>
    <sheetView view="pageBreakPreview" zoomScale="85" zoomScaleNormal="100" zoomScaleSheetLayoutView="85" workbookViewId="0">
      <pane xSplit="1" ySplit="7" topLeftCell="B23" activePane="bottomRight" state="frozen"/>
      <selection pane="topRight" activeCell="B1" sqref="B1"/>
      <selection pane="bottomLeft" activeCell="A8" sqref="A8"/>
      <selection pane="bottomRight" activeCell="O57" sqref="O57"/>
    </sheetView>
  </sheetViews>
  <sheetFormatPr defaultColWidth="8.88671875" defaultRowHeight="14.4" x14ac:dyDescent="0.3"/>
  <cols>
    <col min="1" max="1" width="47.6640625" style="13" bestFit="1" customWidth="1"/>
    <col min="2" max="2" width="11.44140625" style="13" customWidth="1"/>
    <col min="3" max="3" width="11.109375" style="13" customWidth="1"/>
    <col min="4" max="4" width="10.6640625" style="13" customWidth="1"/>
    <col min="5" max="5" width="11.33203125" style="13" customWidth="1"/>
    <col min="6" max="6" width="11.44140625" style="13" customWidth="1"/>
    <col min="7" max="7" width="11.33203125" style="13" customWidth="1"/>
    <col min="8" max="12" width="10.44140625" style="13" customWidth="1"/>
    <col min="13" max="13" width="10" style="13" bestFit="1" customWidth="1"/>
    <col min="14" max="16384" width="8.88671875" style="13"/>
  </cols>
  <sheetData>
    <row r="1" spans="1:26" ht="28.8" x14ac:dyDescent="0.55000000000000004">
      <c r="A1" s="349" t="str">
        <f>(Inputs!$E$9 &amp; " - Income Statement " &amp; Inputs!$E$19)</f>
        <v>Air Canada - Income Statement US$</v>
      </c>
      <c r="B1" s="349"/>
      <c r="C1" s="349"/>
      <c r="D1" s="349"/>
      <c r="E1" s="349"/>
      <c r="F1" s="349"/>
      <c r="G1" s="349"/>
      <c r="H1" s="349"/>
      <c r="I1" s="349"/>
      <c r="J1" s="349"/>
      <c r="K1" s="349"/>
      <c r="L1" s="349"/>
      <c r="M1" s="349"/>
    </row>
    <row r="2" spans="1:26" x14ac:dyDescent="0.3">
      <c r="A2" s="3"/>
      <c r="B2" s="3" t="s">
        <v>11</v>
      </c>
      <c r="C2" s="3" t="s">
        <v>11</v>
      </c>
      <c r="D2" s="3" t="s">
        <v>11</v>
      </c>
      <c r="E2" s="3" t="s">
        <v>11</v>
      </c>
      <c r="F2" s="3" t="s">
        <v>11</v>
      </c>
      <c r="G2" s="3" t="s">
        <v>11</v>
      </c>
      <c r="H2" s="3" t="s">
        <v>11</v>
      </c>
      <c r="I2" s="3" t="s">
        <v>11</v>
      </c>
      <c r="J2" s="3" t="s">
        <v>11</v>
      </c>
      <c r="K2" s="3" t="s">
        <v>11</v>
      </c>
      <c r="L2" s="3" t="s">
        <v>11</v>
      </c>
      <c r="M2" s="3" t="s">
        <v>268</v>
      </c>
      <c r="N2" s="16"/>
      <c r="O2" s="16"/>
      <c r="P2" s="16"/>
      <c r="Q2" s="16"/>
      <c r="R2" s="16"/>
      <c r="S2" s="16"/>
      <c r="T2" s="16"/>
      <c r="U2" s="16"/>
      <c r="V2" s="16"/>
      <c r="W2" s="16"/>
      <c r="X2" s="16"/>
      <c r="Y2" s="16"/>
      <c r="Z2" s="16"/>
    </row>
    <row r="3" spans="1:26" x14ac:dyDescent="0.3">
      <c r="A3" s="3"/>
      <c r="B3" s="7">
        <f>'Annual Operational Data'!B3</f>
        <v>40543</v>
      </c>
      <c r="C3" s="7">
        <f>'Annual Operational Data'!C3</f>
        <v>40908</v>
      </c>
      <c r="D3" s="7">
        <f>'Annual Operational Data'!D3</f>
        <v>41274</v>
      </c>
      <c r="E3" s="7">
        <f>'Annual Operational Data'!E3</f>
        <v>41639</v>
      </c>
      <c r="F3" s="7">
        <f>'Annual Operational Data'!F3</f>
        <v>42004</v>
      </c>
      <c r="G3" s="7">
        <f>'Annual Operational Data'!G3</f>
        <v>42369</v>
      </c>
      <c r="H3" s="7">
        <f>'Annual Operational Data'!H3</f>
        <v>42735</v>
      </c>
      <c r="I3" s="7">
        <f>'Annual Operational Data'!I3</f>
        <v>43100</v>
      </c>
      <c r="J3" s="7">
        <f>'Annual Operational Data'!J3</f>
        <v>43465</v>
      </c>
      <c r="K3" s="7">
        <f>'Annual Operational Data'!K3</f>
        <v>43830</v>
      </c>
      <c r="L3" s="7">
        <f>'Annual Operational Data'!L3</f>
        <v>44196</v>
      </c>
      <c r="M3" s="7">
        <f>'Annual Operational Data'!M3</f>
        <v>44469</v>
      </c>
      <c r="N3" s="16"/>
      <c r="O3" s="16"/>
      <c r="P3" s="16"/>
      <c r="Q3" s="16"/>
      <c r="R3" s="16"/>
      <c r="S3" s="16"/>
      <c r="T3" s="16"/>
      <c r="U3" s="16"/>
      <c r="V3" s="16"/>
      <c r="W3" s="16"/>
      <c r="X3" s="16"/>
      <c r="Y3" s="16"/>
      <c r="Z3" s="16"/>
    </row>
    <row r="4" spans="1:26" x14ac:dyDescent="0.3">
      <c r="A4" s="3"/>
      <c r="B4" s="3" t="s">
        <v>1</v>
      </c>
      <c r="C4" s="3" t="s">
        <v>1</v>
      </c>
      <c r="D4" s="3" t="s">
        <v>1</v>
      </c>
      <c r="E4" s="3" t="s">
        <v>1</v>
      </c>
      <c r="F4" s="3" t="s">
        <v>1</v>
      </c>
      <c r="G4" s="3" t="s">
        <v>1</v>
      </c>
      <c r="H4" s="3" t="s">
        <v>1</v>
      </c>
      <c r="I4" s="3" t="s">
        <v>1</v>
      </c>
      <c r="J4" s="3" t="s">
        <v>1</v>
      </c>
      <c r="K4" s="3" t="s">
        <v>1</v>
      </c>
      <c r="L4" s="3" t="s">
        <v>1</v>
      </c>
      <c r="M4" s="3" t="s">
        <v>1</v>
      </c>
      <c r="N4" s="16"/>
      <c r="O4" s="16"/>
      <c r="P4" s="16"/>
      <c r="Q4" s="16"/>
      <c r="R4" s="16"/>
      <c r="S4" s="16"/>
      <c r="T4" s="16"/>
      <c r="U4" s="16"/>
      <c r="V4" s="16"/>
      <c r="W4" s="16"/>
      <c r="X4" s="16"/>
      <c r="Y4" s="16"/>
      <c r="Z4" s="16"/>
    </row>
    <row r="5" spans="1:26" x14ac:dyDescent="0.3">
      <c r="A5" s="3"/>
      <c r="B5" s="3" t="str">
        <f>Inputs!$E$19 &amp;"m"</f>
        <v>US$m</v>
      </c>
      <c r="C5" s="3" t="str">
        <f>Inputs!$E$19 &amp;"m"</f>
        <v>US$m</v>
      </c>
      <c r="D5" s="3" t="str">
        <f>Inputs!$E$19 &amp;"m"</f>
        <v>US$m</v>
      </c>
      <c r="E5" s="3" t="str">
        <f>Inputs!$E$19 &amp;"m"</f>
        <v>US$m</v>
      </c>
      <c r="F5" s="3" t="str">
        <f>Inputs!$E$19 &amp;"m"</f>
        <v>US$m</v>
      </c>
      <c r="G5" s="3" t="str">
        <f>Inputs!$E$19 &amp;"m"</f>
        <v>US$m</v>
      </c>
      <c r="H5" s="3" t="str">
        <f>Inputs!$E$19 &amp;"m"</f>
        <v>US$m</v>
      </c>
      <c r="I5" s="3" t="str">
        <f>Inputs!$E$19 &amp;"m"</f>
        <v>US$m</v>
      </c>
      <c r="J5" s="3" t="str">
        <f>Inputs!$E$19 &amp;"m"</f>
        <v>US$m</v>
      </c>
      <c r="K5" s="3" t="str">
        <f>Inputs!$E$19 &amp;"m"</f>
        <v>US$m</v>
      </c>
      <c r="L5" s="3" t="str">
        <f>Inputs!$E$19 &amp;"m"</f>
        <v>US$m</v>
      </c>
      <c r="M5" s="3" t="str">
        <f>Inputs!$E$19 &amp;"m"</f>
        <v>US$m</v>
      </c>
      <c r="N5" s="16"/>
      <c r="O5" s="16"/>
      <c r="P5" s="16"/>
      <c r="Q5" s="16"/>
      <c r="R5" s="16"/>
      <c r="S5" s="16"/>
      <c r="T5" s="16"/>
      <c r="U5" s="16"/>
      <c r="V5" s="16"/>
      <c r="W5" s="16"/>
      <c r="X5" s="16"/>
      <c r="Y5" s="16"/>
      <c r="Z5" s="16"/>
    </row>
    <row r="6" spans="1:26" x14ac:dyDescent="0.3">
      <c r="A6" s="3"/>
      <c r="B6" s="3" t="str">
        <f>(Inputs!$E$19 &amp; " / " &amp;Inputs!$E$18)</f>
        <v>US$ / CAD</v>
      </c>
      <c r="C6" s="3" t="str">
        <f>(Inputs!$E$19 &amp; " / " &amp;Inputs!$E$18)</f>
        <v>US$ / CAD</v>
      </c>
      <c r="D6" s="3" t="str">
        <f>(Inputs!$E$19 &amp; " / " &amp;Inputs!$E$18)</f>
        <v>US$ / CAD</v>
      </c>
      <c r="E6" s="3" t="str">
        <f>(Inputs!$E$19 &amp; " / " &amp;Inputs!$E$18)</f>
        <v>US$ / CAD</v>
      </c>
      <c r="F6" s="3" t="str">
        <f>(Inputs!$E$19 &amp; " / " &amp;Inputs!$E$18)</f>
        <v>US$ / CAD</v>
      </c>
      <c r="G6" s="3" t="str">
        <f>(Inputs!$E$19 &amp; " / " &amp;Inputs!$E$18)</f>
        <v>US$ / CAD</v>
      </c>
      <c r="H6" s="3" t="str">
        <f>(Inputs!$E$19 &amp; " / " &amp;Inputs!$E$18)</f>
        <v>US$ / CAD</v>
      </c>
      <c r="I6" s="3" t="str">
        <f>(Inputs!$E$19 &amp; " / " &amp;Inputs!$E$18)</f>
        <v>US$ / CAD</v>
      </c>
      <c r="J6" s="3" t="str">
        <f>(Inputs!$E$19 &amp; " / " &amp;Inputs!$E$18)</f>
        <v>US$ / CAD</v>
      </c>
      <c r="K6" s="3" t="str">
        <f>(Inputs!$E$19 &amp; " / " &amp;Inputs!$E$18)</f>
        <v>US$ / CAD</v>
      </c>
      <c r="L6" s="3" t="str">
        <f>(Inputs!$E$19 &amp; " / " &amp;Inputs!$E$18)</f>
        <v>US$ / CAD</v>
      </c>
      <c r="M6" s="3" t="str">
        <f>(Inputs!$E$19 &amp; " / " &amp;Inputs!$E$18)</f>
        <v>US$ / CAD</v>
      </c>
      <c r="N6" s="16"/>
      <c r="O6" s="16"/>
      <c r="P6" s="16"/>
      <c r="Q6" s="16"/>
      <c r="R6" s="16"/>
      <c r="S6" s="16"/>
      <c r="T6" s="16"/>
      <c r="U6" s="16"/>
      <c r="V6" s="16"/>
      <c r="W6" s="16"/>
      <c r="X6" s="16"/>
      <c r="Y6" s="16"/>
      <c r="Z6" s="16"/>
    </row>
    <row r="7" spans="1:26" x14ac:dyDescent="0.3">
      <c r="A7" s="3"/>
      <c r="B7" s="20">
        <f>Inputs!E24</f>
        <v>1.0301899999999999</v>
      </c>
      <c r="C7" s="20">
        <f>Inputs!F24</f>
        <v>0.98882999999999999</v>
      </c>
      <c r="D7" s="20">
        <f>Inputs!G24</f>
        <v>0.99963999999999997</v>
      </c>
      <c r="E7" s="20">
        <f>Inputs!H24</f>
        <v>1.0298</v>
      </c>
      <c r="F7" s="20">
        <f>Inputs!I24</f>
        <v>1.0407</v>
      </c>
      <c r="G7" s="20">
        <f>Inputs!J24</f>
        <v>1.27763</v>
      </c>
      <c r="H7" s="20">
        <f>Inputs!K24</f>
        <v>1.32524</v>
      </c>
      <c r="I7" s="20">
        <f>Inputs!L24</f>
        <v>1.2981288461538452</v>
      </c>
      <c r="J7" s="20">
        <f>Inputs!M24</f>
        <v>1.2959680076628346</v>
      </c>
      <c r="K7" s="20">
        <f>Inputs!N24</f>
        <v>1.3269</v>
      </c>
      <c r="L7" s="20">
        <f>Inputs!O24</f>
        <v>1.31555</v>
      </c>
      <c r="M7" s="20">
        <f>Inputs!P24</f>
        <v>1.2986</v>
      </c>
      <c r="N7" s="16"/>
      <c r="O7" s="16"/>
      <c r="P7" s="16"/>
      <c r="Q7" s="16"/>
      <c r="R7" s="16"/>
      <c r="S7" s="16"/>
      <c r="T7" s="16"/>
      <c r="U7" s="16"/>
      <c r="V7" s="16"/>
      <c r="W7" s="16"/>
      <c r="X7" s="16"/>
      <c r="Y7" s="16"/>
      <c r="Z7" s="16"/>
    </row>
    <row r="8" spans="1:26" x14ac:dyDescent="0.3">
      <c r="A8" s="85" t="s">
        <v>615</v>
      </c>
      <c r="B8" s="58">
        <f>'Annual Inc Statement Reported'!B8/'Annual Income Statement US$'!B$7</f>
        <v>9150.7391840340133</v>
      </c>
      <c r="C8" s="58">
        <f>'Annual Inc Statement Reported'!C8/'Annual Income Statement US$'!C$7</f>
        <v>10323.311388206264</v>
      </c>
      <c r="D8" s="58">
        <f>'Annual Inc Statement Reported'!D8/'Annual Income Statement US$'!D$7</f>
        <v>10740.866712016326</v>
      </c>
      <c r="E8" s="58">
        <f>'Annual Inc Statement Reported'!E8/'Annual Income Statement US$'!E$7</f>
        <v>10702.078073412313</v>
      </c>
      <c r="F8" s="58">
        <f>'Annual Inc Statement Reported'!F8/'Annual Income Statement US$'!F$7</f>
        <v>11342.365715383876</v>
      </c>
      <c r="G8" s="58">
        <f>'Annual Inc Statement Reported'!G8/'Annual Income Statement US$'!G$7</f>
        <v>9721.1242691546067</v>
      </c>
      <c r="H8" s="58">
        <f>'Annual Inc Statement Reported'!H8/'Annual Income Statement US$'!H$7</f>
        <v>9921.2218164257047</v>
      </c>
      <c r="I8" s="58">
        <f>'Annual Inc Statement Reported'!I8/'Annual Income Statement US$'!I$7</f>
        <v>11147.583726280587</v>
      </c>
      <c r="J8" s="58">
        <f>'Annual Inc Statement Reported'!J8/'Annual Income Statement US$'!J$7</f>
        <v>12470.215240224145</v>
      </c>
      <c r="K8" s="58">
        <f>'Annual Inc Statement Reported'!K8/'Annual Income Statement US$'!K$7</f>
        <v>12986.660637576306</v>
      </c>
      <c r="L8" s="58">
        <f>'Annual Inc Statement Reported'!L8/'Annual Income Statement US$'!L$7</f>
        <v>3330.9262285736004</v>
      </c>
      <c r="M8" s="58">
        <f>'Annual Inc Statement Reported'!M8/'Annual Income Statement US$'!M$7</f>
        <v>2257.8161096565532</v>
      </c>
    </row>
    <row r="9" spans="1:26" x14ac:dyDescent="0.3">
      <c r="A9" s="85" t="s">
        <v>614</v>
      </c>
      <c r="B9" s="58">
        <f>'Annual Inc Statement Reported'!B9/'Annual Income Statement US$'!B$7</f>
        <v>0</v>
      </c>
      <c r="C9" s="58">
        <f>'Annual Inc Statement Reported'!C9/'Annual Income Statement US$'!C$7</f>
        <v>0</v>
      </c>
      <c r="D9" s="58">
        <f>'Annual Inc Statement Reported'!D9/'Annual Income Statement US$'!D$7</f>
        <v>0</v>
      </c>
      <c r="E9" s="58">
        <f>'Annual Inc Statement Reported'!E9/'Annual Income Statement US$'!E$7</f>
        <v>0</v>
      </c>
      <c r="F9" s="58">
        <f>'Annual Inc Statement Reported'!F9/'Annual Income Statement US$'!F$7</f>
        <v>0</v>
      </c>
      <c r="G9" s="58">
        <f>'Annual Inc Statement Reported'!G9/'Annual Income Statement US$'!G$7</f>
        <v>0</v>
      </c>
      <c r="H9" s="58">
        <f>'Annual Inc Statement Reported'!H9/'Annual Income Statement US$'!H$7</f>
        <v>0</v>
      </c>
      <c r="I9" s="58">
        <f>'Annual Inc Statement Reported'!I9/'Annual Income Statement US$'!I$7</f>
        <v>0</v>
      </c>
      <c r="J9" s="58">
        <f>'Annual Inc Statement Reported'!J9/'Annual Income Statement US$'!J$7</f>
        <v>0</v>
      </c>
      <c r="K9" s="58">
        <f>'Annual Inc Statement Reported'!K9/'Annual Income Statement US$'!K$7</f>
        <v>0</v>
      </c>
      <c r="L9" s="58">
        <f>'Annual Inc Statement Reported'!L9/'Annual Income Statement US$'!L$7</f>
        <v>0</v>
      </c>
      <c r="M9" s="58">
        <f>'Annual Inc Statement Reported'!M9/'Annual Income Statement US$'!M$7</f>
        <v>0</v>
      </c>
    </row>
    <row r="10" spans="1:26" x14ac:dyDescent="0.3">
      <c r="A10" s="17" t="s">
        <v>12</v>
      </c>
      <c r="B10" s="58">
        <f>'Annual Inc Statement Reported'!B10/'Annual Income Statement US$'!B$7</f>
        <v>452.34374241644747</v>
      </c>
      <c r="C10" s="58">
        <f>'Annual Inc Statement Reported'!C10/'Annual Income Statement US$'!C$7</f>
        <v>486.43346176794796</v>
      </c>
      <c r="D10" s="58">
        <f>'Annual Inc Statement Reported'!D10/'Annual Income Statement US$'!D$7</f>
        <v>488.17574326757637</v>
      </c>
      <c r="E10" s="58">
        <f>'Annual Inc Statement Reported'!E10/'Annual Income Statement US$'!E$7</f>
        <v>460.28355020392308</v>
      </c>
      <c r="F10" s="58">
        <f>'Annual Inc Statement Reported'!F10/'Annual Income Statement US$'!F$7</f>
        <v>482.36763716729126</v>
      </c>
      <c r="G10" s="58">
        <f>'Annual Inc Statement Reported'!G10/'Annual Income Statement US$'!G$7</f>
        <v>396.04580355815062</v>
      </c>
      <c r="H10" s="58">
        <f>'Annual Inc Statement Reported'!H10/'Annual Income Statement US$'!H$7</f>
        <v>386.34511484712203</v>
      </c>
      <c r="I10" s="58">
        <f>'Annual Inc Statement Reported'!I10/'Annual Income Statement US$'!I$7</f>
        <v>500.72071191226462</v>
      </c>
      <c r="J10" s="58">
        <f>'Annual Inc Statement Reported'!J10/'Annual Income Statement US$'!J$7</f>
        <v>619.61406088113279</v>
      </c>
      <c r="K10" s="58">
        <f>'Annual Inc Statement Reported'!K10/'Annual Income Statement US$'!K$7</f>
        <v>540.35722360388877</v>
      </c>
      <c r="L10" s="58">
        <f>'Annual Inc Statement Reported'!L10/'Annual Income Statement US$'!L$7</f>
        <v>699.32727756451675</v>
      </c>
      <c r="M10" s="58">
        <f>'Annual Inc Statement Reported'!M10/'Annual Income Statement US$'!M$7</f>
        <v>994.14754350839371</v>
      </c>
    </row>
    <row r="11" spans="1:26" x14ac:dyDescent="0.3">
      <c r="A11" s="17" t="s">
        <v>13</v>
      </c>
      <c r="B11" s="59">
        <f>'Annual Inc Statement Reported'!B11/'Annual Income Statement US$'!B$7</f>
        <v>866.83039051048843</v>
      </c>
      <c r="C11" s="59">
        <f>'Annual Inc Statement Reported'!C11/'Annual Income Statement US$'!C$7</f>
        <v>933.42637258173806</v>
      </c>
      <c r="D11" s="59">
        <f>'Annual Inc Statement Reported'!D11/'Annual Income Statement US$'!D$7</f>
        <v>895.32231603377215</v>
      </c>
      <c r="E11" s="59">
        <f>'Annual Inc Statement Reported'!E11/'Annual Income Statement US$'!E$7</f>
        <v>861.33229753350156</v>
      </c>
      <c r="F11" s="59">
        <f>'Annual Inc Statement Reported'!F11/'Annual Income Statement US$'!F$7</f>
        <v>928.22138944940912</v>
      </c>
      <c r="G11" s="59">
        <f>'Annual Inc Statement Reported'!G11/'Annual Income Statement US$'!G$7</f>
        <v>737.30266196003538</v>
      </c>
      <c r="H11" s="59">
        <f>'Annual Inc Statement Reported'!H11/'Annual Income Statement US$'!H$7</f>
        <v>767.40816757719358</v>
      </c>
      <c r="I11" s="59">
        <f>'Annual Inc Statement Reported'!I11/'Annual Income Statement US$'!I$7</f>
        <v>871.25403872734046</v>
      </c>
      <c r="J11" s="59">
        <f>'Annual Inc Statement Reported'!J11/'Annual Income Statement US$'!J$7</f>
        <v>801.71732161332125</v>
      </c>
      <c r="K11" s="59">
        <f>'Annual Inc Statement Reported'!K11/'Annual Income Statement US$'!K$7</f>
        <v>890.79810083653626</v>
      </c>
      <c r="L11" s="59">
        <f>'Annual Inc Statement Reported'!L11/'Annual Income Statement US$'!L$7</f>
        <v>403.63346128995477</v>
      </c>
      <c r="M11" s="59">
        <f>'Annual Inc Statement Reported'!M11/'Annual Income Statement US$'!M$7</f>
        <v>210.22639765901741</v>
      </c>
    </row>
    <row r="12" spans="1:26" x14ac:dyDescent="0.3">
      <c r="A12" s="48" t="s">
        <v>5</v>
      </c>
      <c r="B12" s="49">
        <f t="shared" ref="B12:H12" si="0">B10+B11</f>
        <v>1319.174132926936</v>
      </c>
      <c r="C12" s="49">
        <f t="shared" si="0"/>
        <v>1419.859834349686</v>
      </c>
      <c r="D12" s="49">
        <f t="shared" si="0"/>
        <v>1383.4980593013486</v>
      </c>
      <c r="E12" s="49">
        <f t="shared" si="0"/>
        <v>1321.6158477374247</v>
      </c>
      <c r="F12" s="49">
        <f t="shared" si="0"/>
        <v>1410.5890266167003</v>
      </c>
      <c r="G12" s="49">
        <f t="shared" si="0"/>
        <v>1133.348465518186</v>
      </c>
      <c r="H12" s="49">
        <f t="shared" si="0"/>
        <v>1153.7532824243156</v>
      </c>
      <c r="I12" s="49">
        <f t="shared" ref="I12:J12" si="1">I10+I11</f>
        <v>1371.9747506396052</v>
      </c>
      <c r="J12" s="49">
        <f t="shared" si="1"/>
        <v>1421.3313824944539</v>
      </c>
      <c r="K12" s="49">
        <f t="shared" ref="K12" si="2">K10+K11</f>
        <v>1431.1553244404249</v>
      </c>
      <c r="L12" s="49">
        <f t="shared" ref="L12:M12" si="3">L10+L11</f>
        <v>1102.9607388544714</v>
      </c>
      <c r="M12" s="49">
        <f t="shared" si="3"/>
        <v>1204.3739411674112</v>
      </c>
    </row>
    <row r="13" spans="1:26" x14ac:dyDescent="0.3">
      <c r="A13" s="14" t="s">
        <v>14</v>
      </c>
      <c r="B13" s="22">
        <f t="shared" ref="B13:H13" si="4">SUM(B8:B11)</f>
        <v>10469.913316960949</v>
      </c>
      <c r="C13" s="22">
        <f t="shared" si="4"/>
        <v>11743.171222555951</v>
      </c>
      <c r="D13" s="22">
        <f t="shared" si="4"/>
        <v>12124.364771317676</v>
      </c>
      <c r="E13" s="22">
        <f t="shared" si="4"/>
        <v>12023.693921149737</v>
      </c>
      <c r="F13" s="22">
        <f t="shared" si="4"/>
        <v>12752.954742000577</v>
      </c>
      <c r="G13" s="22">
        <f t="shared" si="4"/>
        <v>10854.472734672792</v>
      </c>
      <c r="H13" s="22">
        <f t="shared" si="4"/>
        <v>11074.97509885002</v>
      </c>
      <c r="I13" s="22">
        <f t="shared" ref="I13:J13" si="5">SUM(I8:I11)</f>
        <v>12519.558476920192</v>
      </c>
      <c r="J13" s="22">
        <f t="shared" si="5"/>
        <v>13891.546622718599</v>
      </c>
      <c r="K13" s="22">
        <f t="shared" ref="K13" si="6">SUM(K8:K11)</f>
        <v>14417.815962016732</v>
      </c>
      <c r="L13" s="22">
        <f t="shared" ref="L13:M13" si="7">SUM(L8:L11)</f>
        <v>4433.8869674280722</v>
      </c>
      <c r="M13" s="22">
        <f t="shared" si="7"/>
        <v>3462.1900508239642</v>
      </c>
    </row>
    <row r="14" spans="1:26" x14ac:dyDescent="0.3">
      <c r="A14" s="17" t="s">
        <v>0</v>
      </c>
      <c r="B14" s="2"/>
      <c r="C14" s="2">
        <f>IFERROR(C13/B13,0)-1</f>
        <v>0.12161112198821766</v>
      </c>
      <c r="D14" s="2">
        <f t="shared" ref="D14:H14" si="8">IFERROR(D13/C13,0)-1</f>
        <v>3.2460869516194979E-2</v>
      </c>
      <c r="E14" s="2">
        <f t="shared" si="8"/>
        <v>-8.3031855331582305E-3</v>
      </c>
      <c r="F14" s="2">
        <f t="shared" si="8"/>
        <v>6.0651978138603901E-2</v>
      </c>
      <c r="G14" s="2">
        <f t="shared" si="8"/>
        <v>-0.14886605071021886</v>
      </c>
      <c r="H14" s="2">
        <f t="shared" si="8"/>
        <v>2.0314424253226937E-2</v>
      </c>
      <c r="I14" s="2">
        <f t="shared" ref="I14" si="9">IFERROR(I13/H13,0)-1</f>
        <v>0.13043671567443726</v>
      </c>
      <c r="J14" s="2">
        <f t="shared" ref="J14:K14" si="10">IFERROR(J13/I13,0)-1</f>
        <v>0.10958758236783406</v>
      </c>
      <c r="K14" s="2">
        <f t="shared" si="10"/>
        <v>3.7884143039728757E-2</v>
      </c>
      <c r="L14" s="2">
        <f t="shared" ref="L14" si="11">IFERROR(L13/K13,0)-1</f>
        <v>-0.69247166289894369</v>
      </c>
      <c r="M14" s="2">
        <f t="shared" ref="M14" si="12">IFERROR(M13/L13,0)-1</f>
        <v>-0.21915238790305747</v>
      </c>
    </row>
    <row r="15" spans="1:26" x14ac:dyDescent="0.3">
      <c r="A15" s="17" t="s">
        <v>15</v>
      </c>
      <c r="B15" s="58">
        <f>'Annual Inc Statement Reported'!B15/'Annual Income Statement US$'!B$7</f>
        <v>-1829.7595589163166</v>
      </c>
      <c r="C15" s="58">
        <f>'Annual Inc Statement Reported'!C15/'Annual Income Statement US$'!C$7</f>
        <v>-2013.4906910186787</v>
      </c>
      <c r="D15" s="58">
        <f>'Annual Inc Statement Reported'!D15/'Annual Income Statement US$'!D$7</f>
        <v>-1985.7148573486456</v>
      </c>
      <c r="E15" s="58">
        <f>'Annual Inc Statement Reported'!E15/'Annual Income Statement US$'!E$7</f>
        <v>-2102.3499708681297</v>
      </c>
      <c r="F15" s="58">
        <f>'Annual Inc Statement Reported'!F15/'Annual Income Statement US$'!F$7</f>
        <v>-2192.7548765254155</v>
      </c>
      <c r="G15" s="58">
        <f>'Annual Inc Statement Reported'!G15/'Annual Income Statement US$'!G$7</f>
        <v>-1818.9929791880277</v>
      </c>
      <c r="H15" s="58">
        <f>'Annual Inc Statement Reported'!H15/'Annual Income Statement US$'!H$7</f>
        <v>-1893.9965591138209</v>
      </c>
      <c r="I15" s="58">
        <f>'Annual Inc Statement Reported'!I15/'Annual Income Statement US$'!I$7</f>
        <v>-2057.5769561810134</v>
      </c>
      <c r="J15" s="58">
        <f>'Annual Inc Statement Reported'!J15/'Annual Income Statement US$'!J$7</f>
        <v>-2216.8757122185489</v>
      </c>
      <c r="K15" s="58">
        <f>'Annual Inc Statement Reported'!K15/'Annual Income Statement US$'!K$7</f>
        <v>-2399.5779636747307</v>
      </c>
      <c r="L15" s="58">
        <f>'Annual Inc Statement Reported'!L15/'Annual Income Statement US$'!L$7</f>
        <v>-1379.651096499563</v>
      </c>
      <c r="M15" s="58">
        <f>'Annual Inc Statement Reported'!M15/'Annual Income Statement US$'!M$7</f>
        <v>-1379.1775758509164</v>
      </c>
    </row>
    <row r="16" spans="1:26" x14ac:dyDescent="0.3">
      <c r="A16" s="17" t="s">
        <v>16</v>
      </c>
      <c r="B16" s="58">
        <f>'Annual Inc Statement Reported'!B16/'Annual Income Statement US$'!B$7</f>
        <v>-2574.2824139236454</v>
      </c>
      <c r="C16" s="58">
        <f>'Annual Inc Statement Reported'!C16/'Annual Income Statement US$'!C$7</f>
        <v>-3413.1246018021297</v>
      </c>
      <c r="D16" s="58">
        <f>'Annual Inc Statement Reported'!D16/'Annual Income Statement US$'!D$7</f>
        <v>-3562.2824216718018</v>
      </c>
      <c r="E16" s="58">
        <f>'Annual Inc Statement Reported'!E16/'Annual Income Statement US$'!E$7</f>
        <v>-3431.7343173431732</v>
      </c>
      <c r="F16" s="58">
        <f>'Annual Inc Statement Reported'!F16/'Annual Income Statement US$'!F$7</f>
        <v>-3600.4612280196025</v>
      </c>
      <c r="G16" s="58">
        <f>'Annual Inc Statement Reported'!G16/'Annual Income Statement US$'!G$7</f>
        <v>-1928.5708695005596</v>
      </c>
      <c r="H16" s="58">
        <f>'Annual Inc Statement Reported'!H16/'Annual Income Statement US$'!H$7</f>
        <v>-1719.6885092511545</v>
      </c>
      <c r="I16" s="58">
        <f>'Annual Inc Statement Reported'!I16/'Annual Income Statement US$'!I$7</f>
        <v>-2254.783882718767</v>
      </c>
      <c r="J16" s="58">
        <f>'Annual Inc Statement Reported'!J16/'Annual Income Statement US$'!J$7</f>
        <v>-3062.5756010426103</v>
      </c>
      <c r="K16" s="58">
        <f>'Annual Inc Statement Reported'!K16/'Annual Income Statement US$'!K$7</f>
        <v>-2910.5433717687843</v>
      </c>
      <c r="L16" s="58">
        <f>'Annual Inc Statement Reported'!L16/'Annual Income Statement US$'!L$7</f>
        <v>-1004.9028923264034</v>
      </c>
      <c r="M16" s="58">
        <f>'Annual Inc Statement Reported'!M16/'Annual Income Statement US$'!M$7</f>
        <v>-845.5259510241799</v>
      </c>
    </row>
    <row r="17" spans="1:13" x14ac:dyDescent="0.3">
      <c r="A17" s="17" t="s">
        <v>17</v>
      </c>
      <c r="B17" s="58">
        <f>'Annual Inc Statement Reported'!B17/'Annual Income Statement US$'!B$7</f>
        <v>-657.16032964792907</v>
      </c>
      <c r="C17" s="58">
        <f>'Annual Inc Statement Reported'!C17/'Annual Income Statement US$'!C$7</f>
        <v>-688.69269743029645</v>
      </c>
      <c r="D17" s="58">
        <f>'Annual Inc Statement Reported'!D17/'Annual Income Statement US$'!D$7</f>
        <v>-672.24200712256413</v>
      </c>
      <c r="E17" s="58">
        <f>'Annual Inc Statement Reported'!E17/'Annual Income Statement US$'!E$7</f>
        <v>-613.71140027189745</v>
      </c>
      <c r="F17" s="58">
        <f>'Annual Inc Statement Reported'!F17/'Annual Income Statement US$'!F$7</f>
        <v>-699.52916306332281</v>
      </c>
      <c r="G17" s="58">
        <f>'Annual Inc Statement Reported'!G17/'Annual Income Statement US$'!G$7</f>
        <v>-605.02649436847912</v>
      </c>
      <c r="H17" s="58">
        <f>'Annual Inc Statement Reported'!H17/'Annual Income Statement US$'!H$7</f>
        <v>-664.03066614349098</v>
      </c>
      <c r="I17" s="58">
        <f>'Annual Inc Statement Reported'!I17/'Annual Income Statement US$'!I$7</f>
        <v>-722.57850426723724</v>
      </c>
      <c r="J17" s="58">
        <f>'Annual Inc Statement Reported'!J17/'Annual Income Statement US$'!J$7</f>
        <v>-696.77645949646694</v>
      </c>
      <c r="K17" s="58">
        <f>'Annual Inc Statement Reported'!K17/'Annual Income Statement US$'!K$7</f>
        <v>-756.65084030446906</v>
      </c>
      <c r="L17" s="58">
        <f>'Annual Inc Statement Reported'!L17/'Annual Income Statement US$'!L$7</f>
        <v>-517.6542130667782</v>
      </c>
      <c r="M17" s="58">
        <f>'Annual Inc Statement Reported'!M17/'Annual Income Statement US$'!M$7</f>
        <v>-473.58693978130293</v>
      </c>
    </row>
    <row r="18" spans="1:13" x14ac:dyDescent="0.3">
      <c r="A18" s="17" t="s">
        <v>18</v>
      </c>
      <c r="B18" s="58">
        <f>'Annual Inc Statement Reported'!B18/'Annual Income Statement US$'!B$7</f>
        <v>-1511.3716887176154</v>
      </c>
      <c r="C18" s="58">
        <f>'Annual Inc Statement Reported'!C18/'Annual Income Statement US$'!C$7</f>
        <v>-1494.695751544755</v>
      </c>
      <c r="D18" s="58">
        <f>'Annual Inc Statement Reported'!D18/'Annual Income Statement US$'!D$7</f>
        <v>-1471.5297507102557</v>
      </c>
      <c r="E18" s="58">
        <f>'Annual Inc Statement Reported'!E18/'Annual Income Statement US$'!E$7</f>
        <v>-1552.7286851815886</v>
      </c>
      <c r="F18" s="58">
        <f>'Annual Inc Statement Reported'!F18/'Annual Income Statement US$'!F$7</f>
        <v>-1649.8510617853369</v>
      </c>
      <c r="G18" s="58">
        <f>'Annual Inc Statement Reported'!G18/'Annual Income Statement US$'!G$7</f>
        <v>-1198.312500489187</v>
      </c>
      <c r="H18" s="58">
        <f>'Annual Inc Statement Reported'!H18/'Annual Income Statement US$'!H$7</f>
        <v>-1280.5227732335275</v>
      </c>
      <c r="I18" s="58">
        <f>'Annual Inc Statement Reported'!I18/'Annual Income Statement US$'!I$7</f>
        <v>-1406.6400306950695</v>
      </c>
      <c r="J18" s="58">
        <f>'Annual Inc Statement Reported'!J18/'Annual Income Statement US$'!J$7</f>
        <v>-1542.4763483205286</v>
      </c>
      <c r="K18" s="58">
        <f>'Annual Inc Statement Reported'!K18/'Annual Income Statement US$'!K$7</f>
        <v>-1553.9980405456326</v>
      </c>
      <c r="L18" s="58">
        <f>'Annual Inc Statement Reported'!L18/'Annual Income Statement US$'!L$7</f>
        <v>-734.29364144274257</v>
      </c>
      <c r="M18" s="58">
        <f>'Annual Inc Statement Reported'!M18/'Annual Income Statement US$'!M$7</f>
        <v>-391.19051286000308</v>
      </c>
    </row>
    <row r="19" spans="1:13" x14ac:dyDescent="0.3">
      <c r="A19" s="17" t="s">
        <v>19</v>
      </c>
      <c r="B19" s="60">
        <f>'Annual Inc Statement Reported'!B19/'Annual Income Statement US$'!B$7</f>
        <v>-251.40993408982811</v>
      </c>
      <c r="C19" s="60">
        <f>'Annual Inc Statement Reported'!C19/'Annual Income Statement US$'!C$7</f>
        <v>-618.91326112678621</v>
      </c>
      <c r="D19" s="60">
        <f>'Annual Inc Statement Reported'!D19/'Annual Income Statement US$'!D$7</f>
        <v>-603.21715817694371</v>
      </c>
      <c r="E19" s="60">
        <f>'Annual Inc Statement Reported'!E19/'Annual Income Statement US$'!E$7</f>
        <v>-595.26121577005244</v>
      </c>
      <c r="F19" s="60">
        <f>'Annual Inc Statement Reported'!F19/'Annual Income Statement US$'!F$7</f>
        <v>-645.71922744306721</v>
      </c>
      <c r="G19" s="60">
        <f>'Annual Inc Statement Reported'!G19/'Annual Income Statement US$'!G$7</f>
        <v>-475.88112364299519</v>
      </c>
      <c r="H19" s="60">
        <f>'Annual Inc Statement Reported'!H19/'Annual Income Statement US$'!H$7</f>
        <v>-530.46995261235702</v>
      </c>
      <c r="I19" s="60">
        <f>'Annual Inc Statement Reported'!I19/'Annual Income Statement US$'!I$7</f>
        <v>-598.55383562435327</v>
      </c>
      <c r="J19" s="60">
        <f>'Annual Inc Statement Reported'!J19/'Annual Income Statement US$'!J$7</f>
        <v>-622.70055682574616</v>
      </c>
      <c r="K19" s="60">
        <f>'Annual Inc Statement Reported'!K19/'Annual Income Statement US$'!K$7</f>
        <v>-658.67812193835255</v>
      </c>
      <c r="L19" s="60">
        <f>'Annual Inc Statement Reported'!L19/'Annual Income Statement US$'!L$7</f>
        <v>-191.55486298506329</v>
      </c>
      <c r="M19" s="60">
        <f>'Annual Inc Statement Reported'!M19/'Annual Income Statement US$'!M$7</f>
        <v>-129.37009086708764</v>
      </c>
    </row>
    <row r="20" spans="1:13" x14ac:dyDescent="0.3">
      <c r="A20" s="17" t="s">
        <v>20</v>
      </c>
      <c r="B20" s="21">
        <f t="shared" ref="B20:H20" si="13">SUM(B21:B23)</f>
        <v>-2300.5465011308597</v>
      </c>
      <c r="C20" s="21">
        <f t="shared" si="13"/>
        <v>-2258.2243661701204</v>
      </c>
      <c r="D20" s="21">
        <f t="shared" si="13"/>
        <v>-2377.8560281701411</v>
      </c>
      <c r="E20" s="21">
        <f t="shared" si="13"/>
        <v>-2256.7488832783065</v>
      </c>
      <c r="F20" s="21">
        <f t="shared" si="13"/>
        <v>-2358.9891419237056</v>
      </c>
      <c r="G20" s="21">
        <f t="shared" si="13"/>
        <v>-2861.548335590116</v>
      </c>
      <c r="H20" s="21">
        <f t="shared" si="13"/>
        <v>-2938.3356976849473</v>
      </c>
      <c r="I20" s="21">
        <f t="shared" ref="I20:J20" si="14">SUM(I21:I23)</f>
        <v>-3281.6465119173035</v>
      </c>
      <c r="J20" s="21">
        <f t="shared" si="14"/>
        <v>-3270.9140773040126</v>
      </c>
      <c r="K20" s="21">
        <f t="shared" ref="K20" si="15">SUM(K21:K23)</f>
        <v>-3398.146054713995</v>
      </c>
      <c r="L20" s="21">
        <f t="shared" ref="L20:M20" si="16">SUM(L21:L23)</f>
        <v>-1834.2138269164989</v>
      </c>
      <c r="M20" s="21">
        <f t="shared" si="16"/>
        <v>-1702.6028030186353</v>
      </c>
    </row>
    <row r="21" spans="1:13" x14ac:dyDescent="0.3">
      <c r="A21" s="17" t="s">
        <v>21</v>
      </c>
      <c r="B21" s="58">
        <f>'Annual Inc Statement Reported'!B21/'Annual Income Statement US$'!B$7</f>
        <v>0</v>
      </c>
      <c r="C21" s="58">
        <f>'Annual Inc Statement Reported'!C21/'Annual Income Statement US$'!C$7</f>
        <v>0</v>
      </c>
      <c r="D21" s="58">
        <f>'Annual Inc Statement Reported'!D21/'Annual Income Statement US$'!D$7</f>
        <v>0</v>
      </c>
      <c r="E21" s="58">
        <f>'Annual Inc Statement Reported'!E21/'Annual Income Statement US$'!E$7</f>
        <v>0</v>
      </c>
      <c r="F21" s="58">
        <f>'Annual Inc Statement Reported'!F21/'Annual Income Statement US$'!F$7</f>
        <v>0</v>
      </c>
      <c r="G21" s="58">
        <f>'Annual Inc Statement Reported'!G21/'Annual Income Statement US$'!G$7</f>
        <v>0</v>
      </c>
      <c r="H21" s="58">
        <f>'Annual Inc Statement Reported'!H21/'Annual Income Statement US$'!H$7</f>
        <v>0</v>
      </c>
      <c r="I21" s="58">
        <f>'Annual Inc Statement Reported'!I21/'Annual Income Statement US$'!I$7</f>
        <v>0</v>
      </c>
      <c r="J21" s="58">
        <f>'Annual Inc Statement Reported'!J21/'Annual Income Statement US$'!J$7</f>
        <v>0</v>
      </c>
      <c r="K21" s="58">
        <f>'Annual Inc Statement Reported'!K21/'Annual Income Statement US$'!K$7</f>
        <v>0</v>
      </c>
      <c r="L21" s="58">
        <f>'Annual Inc Statement Reported'!L21/'Annual Income Statement US$'!L$7</f>
        <v>0</v>
      </c>
      <c r="M21" s="58">
        <f>'Annual Inc Statement Reported'!M21/'Annual Income Statement US$'!M$7</f>
        <v>0</v>
      </c>
    </row>
    <row r="22" spans="1:13" x14ac:dyDescent="0.3">
      <c r="A22" s="17" t="s">
        <v>22</v>
      </c>
      <c r="B22" s="58">
        <f>'Annual Inc Statement Reported'!B22/'Annual Income Statement US$'!B$7</f>
        <v>-906.62887428532611</v>
      </c>
      <c r="C22" s="58">
        <f>'Annual Inc Statement Reported'!C22/'Annual Income Statement US$'!C$7</f>
        <v>-1014.3300668466774</v>
      </c>
      <c r="D22" s="58">
        <f>'Annual Inc Statement Reported'!D22/'Annual Income Statement US$'!D$7</f>
        <v>-1072.3860589812332</v>
      </c>
      <c r="E22" s="58">
        <f>'Annual Inc Statement Reported'!E22/'Annual Income Statement US$'!E$7</f>
        <v>-1090.5030102932608</v>
      </c>
      <c r="F22" s="58">
        <f>'Annual Inc Statement Reported'!F22/'Annual Income Statement US$'!F$7</f>
        <v>-1135.7739982703949</v>
      </c>
      <c r="G22" s="58">
        <f>'Annual Inc Statement Reported'!G22/'Annual Income Statement US$'!G$7</f>
        <v>-1783.7715144447141</v>
      </c>
      <c r="H22" s="58">
        <f>'Annual Inc Statement Reported'!H22/'Annual Income Statement US$'!H$7</f>
        <v>-1817.0293682653707</v>
      </c>
      <c r="I22" s="58">
        <f>'Annual Inc Statement Reported'!I22/'Annual Income Statement US$'!I$7</f>
        <v>-2015.9786201144561</v>
      </c>
      <c r="J22" s="58">
        <f>'Annual Inc Statement Reported'!J22/'Annual Income Statement US$'!J$7</f>
        <v>-1935.2329572725791</v>
      </c>
      <c r="K22" s="58">
        <f>'Annual Inc Statement Reported'!K22/'Annual Income Statement US$'!K$7</f>
        <v>-1839.6261963976185</v>
      </c>
      <c r="L22" s="58">
        <f>'Annual Inc Statement Reported'!L22/'Annual Income Statement US$'!L$7</f>
        <v>-825.51024286420125</v>
      </c>
      <c r="M22" s="58">
        <f>'Annual Inc Statement Reported'!M22/'Annual Income Statement US$'!M$7</f>
        <v>-727.70676112736794</v>
      </c>
    </row>
    <row r="23" spans="1:13" x14ac:dyDescent="0.3">
      <c r="A23" s="17" t="s">
        <v>23</v>
      </c>
      <c r="B23" s="60">
        <f>'Annual Inc Statement Reported'!B23/'Annual Income Statement US$'!B$7</f>
        <v>-1393.9176268455335</v>
      </c>
      <c r="C23" s="60">
        <f>'Annual Inc Statement Reported'!C23/'Annual Income Statement US$'!C$7</f>
        <v>-1243.894299323443</v>
      </c>
      <c r="D23" s="60">
        <f>'Annual Inc Statement Reported'!D23/'Annual Income Statement US$'!D$7</f>
        <v>-1305.469969188908</v>
      </c>
      <c r="E23" s="60">
        <f>'Annual Inc Statement Reported'!E23/'Annual Income Statement US$'!E$7</f>
        <v>-1166.2458729850455</v>
      </c>
      <c r="F23" s="60">
        <f>'Annual Inc Statement Reported'!F23/'Annual Income Statement US$'!F$7</f>
        <v>-1223.2151436533104</v>
      </c>
      <c r="G23" s="60">
        <f>'Annual Inc Statement Reported'!G23/'Annual Income Statement US$'!G$7</f>
        <v>-1077.776821145402</v>
      </c>
      <c r="H23" s="60">
        <f>'Annual Inc Statement Reported'!H23/'Annual Income Statement US$'!H$7</f>
        <v>-1121.3063294195767</v>
      </c>
      <c r="I23" s="60">
        <f>'Annual Inc Statement Reported'!I23/'Annual Income Statement US$'!I$7</f>
        <v>-1265.6678918028474</v>
      </c>
      <c r="J23" s="60">
        <f>'Annual Inc Statement Reported'!J23/'Annual Income Statement US$'!J$7</f>
        <v>-1335.6811200314332</v>
      </c>
      <c r="K23" s="60">
        <f>'Annual Inc Statement Reported'!K23/'Annual Income Statement US$'!K$7</f>
        <v>-1558.5198583163765</v>
      </c>
      <c r="L23" s="60">
        <f>'Annual Inc Statement Reported'!L23/'Annual Income Statement US$'!L$7</f>
        <v>-1008.7035840522975</v>
      </c>
      <c r="M23" s="60">
        <f>'Annual Inc Statement Reported'!M23/'Annual Income Statement US$'!M$7</f>
        <v>-974.89604189126749</v>
      </c>
    </row>
    <row r="24" spans="1:13" x14ac:dyDescent="0.3">
      <c r="A24" s="14" t="s">
        <v>24</v>
      </c>
      <c r="B24" s="22">
        <f t="shared" ref="B24:G24" si="17">SUM(B15:B20)</f>
        <v>-9124.530426426194</v>
      </c>
      <c r="C24" s="22">
        <f t="shared" si="17"/>
        <v>-10487.141369092766</v>
      </c>
      <c r="D24" s="22">
        <f t="shared" si="17"/>
        <v>-10672.842223200352</v>
      </c>
      <c r="E24" s="22">
        <f t="shared" si="17"/>
        <v>-10552.534472713149</v>
      </c>
      <c r="F24" s="22">
        <f t="shared" si="17"/>
        <v>-11147.30469876045</v>
      </c>
      <c r="G24" s="22">
        <f t="shared" si="17"/>
        <v>-8888.3323027793649</v>
      </c>
      <c r="H24" s="22">
        <f>SUM(H15:H20)</f>
        <v>-9027.0441580392981</v>
      </c>
      <c r="I24" s="22">
        <f t="shared" ref="I24:J24" si="18">SUM(I15:I20)</f>
        <v>-10321.779721403744</v>
      </c>
      <c r="J24" s="22">
        <f t="shared" si="18"/>
        <v>-11412.318755207914</v>
      </c>
      <c r="K24" s="22">
        <f t="shared" ref="K24" si="19">SUM(K15:K20)</f>
        <v>-11677.594392945965</v>
      </c>
      <c r="L24" s="22">
        <f t="shared" ref="L24:M24" si="20">SUM(L15:L20)</f>
        <v>-5662.2705332370497</v>
      </c>
      <c r="M24" s="22">
        <f t="shared" si="20"/>
        <v>-4921.4538734021244</v>
      </c>
    </row>
    <row r="25" spans="1:13" x14ac:dyDescent="0.3">
      <c r="A25" s="17" t="s">
        <v>0</v>
      </c>
      <c r="B25" s="50"/>
      <c r="C25" s="50">
        <f t="shared" ref="C25:H25" si="21">IFERROR(C24/B24,0)-1</f>
        <v>0.14933491138571009</v>
      </c>
      <c r="D25" s="50">
        <f t="shared" si="21"/>
        <v>1.7707480768293538E-2</v>
      </c>
      <c r="E25" s="50">
        <f t="shared" si="21"/>
        <v>-1.1272325400415006E-2</v>
      </c>
      <c r="F25" s="50">
        <f t="shared" si="21"/>
        <v>5.6362784465216809E-2</v>
      </c>
      <c r="G25" s="50">
        <f t="shared" si="21"/>
        <v>-0.20264740733536035</v>
      </c>
      <c r="H25" s="50">
        <f t="shared" si="21"/>
        <v>1.5606060904874042E-2</v>
      </c>
      <c r="I25" s="50">
        <f t="shared" ref="I25" si="22">IFERROR(I24/H24,0)-1</f>
        <v>0.14342851776252585</v>
      </c>
      <c r="J25" s="50">
        <f t="shared" ref="J25:K25" si="23">IFERROR(J24/I24,0)-1</f>
        <v>0.10565416655257387</v>
      </c>
      <c r="K25" s="50">
        <f t="shared" si="23"/>
        <v>2.3244674761383921E-2</v>
      </c>
      <c r="L25" s="50">
        <f t="shared" ref="L25" si="24">IFERROR(L24/K24,0)-1</f>
        <v>-0.51511669760876144</v>
      </c>
      <c r="M25" s="50">
        <f t="shared" ref="M25" si="25">IFERROR(M24/L24,0)-1</f>
        <v>-0.13083385110025991</v>
      </c>
    </row>
    <row r="26" spans="1:13" x14ac:dyDescent="0.3">
      <c r="A26" s="14" t="s">
        <v>25</v>
      </c>
      <c r="B26" s="22">
        <f t="shared" ref="B26:H26" si="26">B13+B24</f>
        <v>1345.3828905347546</v>
      </c>
      <c r="C26" s="22">
        <f t="shared" si="26"/>
        <v>1256.0298534631856</v>
      </c>
      <c r="D26" s="22">
        <f t="shared" si="26"/>
        <v>1451.5225481173238</v>
      </c>
      <c r="E26" s="22">
        <f t="shared" si="26"/>
        <v>1471.1594484365887</v>
      </c>
      <c r="F26" s="22">
        <f t="shared" si="26"/>
        <v>1605.6500432401263</v>
      </c>
      <c r="G26" s="22">
        <f t="shared" si="26"/>
        <v>1966.1404318934274</v>
      </c>
      <c r="H26" s="22">
        <f t="shared" si="26"/>
        <v>2047.9309408107219</v>
      </c>
      <c r="I26" s="22">
        <f t="shared" ref="I26:J26" si="27">I13+I24</f>
        <v>2197.7787555164487</v>
      </c>
      <c r="J26" s="22">
        <f t="shared" si="27"/>
        <v>2479.2278675106845</v>
      </c>
      <c r="K26" s="22">
        <f t="shared" ref="K26" si="28">K13+K24</f>
        <v>2740.2215690707671</v>
      </c>
      <c r="L26" s="22">
        <f t="shared" ref="L26:M26" si="29">L13+L24</f>
        <v>-1228.3835658089774</v>
      </c>
      <c r="M26" s="22">
        <f t="shared" si="29"/>
        <v>-1459.2638225781602</v>
      </c>
    </row>
    <row r="27" spans="1:13" x14ac:dyDescent="0.3">
      <c r="A27" s="17" t="s">
        <v>26</v>
      </c>
      <c r="B27" s="60">
        <f>'Annual Inc Statement Reported'!B27/'Annual Income Statement US$'!B$7</f>
        <v>-335.86037527058119</v>
      </c>
      <c r="C27" s="60">
        <f>'Annual Inc Statement Reported'!C27/'Annual Income Statement US$'!C$7</f>
        <v>-338.78421973443363</v>
      </c>
      <c r="D27" s="60">
        <f>'Annual Inc Statement Reported'!D27/'Annual Income Statement US$'!D$7</f>
        <v>-336.12100356128207</v>
      </c>
      <c r="E27" s="60">
        <f>'Annual Inc Statement Reported'!E27/'Annual Income Statement US$'!E$7</f>
        <v>-308.79782482035347</v>
      </c>
      <c r="F27" s="60">
        <f>'Annual Inc Statement Reported'!F27/'Annual Income Statement US$'!F$7</f>
        <v>-300.75910444892861</v>
      </c>
      <c r="G27" s="60">
        <f>'Annual Inc Statement Reported'!G27/'Annual Income Statement US$'!G$7</f>
        <v>-276.29282343088374</v>
      </c>
      <c r="H27" s="60">
        <f>'Annual Inc Statement Reported'!H27/'Annual Income Statement US$'!H$7</f>
        <v>-348.61609972533279</v>
      </c>
      <c r="I27" s="60">
        <f>'Annual Inc Statement Reported'!I27/'Annual Income Statement US$'!I$7</f>
        <v>-387.48079706441399</v>
      </c>
      <c r="J27" s="60">
        <f>'Annual Inc Statement Reported'!J27/'Annual Income Statement US$'!J$7</f>
        <v>0</v>
      </c>
      <c r="K27" s="60">
        <f>'Annual Inc Statement Reported'!K27/'Annual Income Statement US$'!K$7</f>
        <v>0</v>
      </c>
      <c r="L27" s="60">
        <f>'Annual Inc Statement Reported'!L27/'Annual Income Statement US$'!L$7</f>
        <v>0</v>
      </c>
      <c r="M27" s="60">
        <f>'Annual Inc Statement Reported'!M27/'Annual Income Statement US$'!M$7</f>
        <v>0</v>
      </c>
    </row>
    <row r="28" spans="1:13" x14ac:dyDescent="0.3">
      <c r="A28" s="14" t="s">
        <v>27</v>
      </c>
      <c r="B28" s="22">
        <f t="shared" ref="B28:H28" si="30">B26+B27</f>
        <v>1009.5225152641733</v>
      </c>
      <c r="C28" s="22">
        <f t="shared" si="30"/>
        <v>917.24563372875195</v>
      </c>
      <c r="D28" s="22">
        <f t="shared" si="30"/>
        <v>1115.4015445560417</v>
      </c>
      <c r="E28" s="22">
        <f t="shared" si="30"/>
        <v>1162.3616236162352</v>
      </c>
      <c r="F28" s="22">
        <f t="shared" si="30"/>
        <v>1304.8909387911976</v>
      </c>
      <c r="G28" s="22">
        <f t="shared" si="30"/>
        <v>1689.8476084625436</v>
      </c>
      <c r="H28" s="22">
        <f t="shared" si="30"/>
        <v>1699.3148410853892</v>
      </c>
      <c r="I28" s="22">
        <f t="shared" ref="I28:J28" si="31">I26+I27</f>
        <v>1810.2979584520347</v>
      </c>
      <c r="J28" s="22">
        <f t="shared" si="31"/>
        <v>2479.2278675106845</v>
      </c>
      <c r="K28" s="22">
        <f t="shared" ref="K28" si="32">K26+K27</f>
        <v>2740.2215690707671</v>
      </c>
      <c r="L28" s="22">
        <f t="shared" ref="L28:M28" si="33">L26+L27</f>
        <v>-1228.3835658089774</v>
      </c>
      <c r="M28" s="22">
        <f t="shared" si="33"/>
        <v>-1459.2638225781602</v>
      </c>
    </row>
    <row r="29" spans="1:13" x14ac:dyDescent="0.3">
      <c r="A29" s="17" t="s">
        <v>28</v>
      </c>
      <c r="B29" s="60">
        <f>'Annual Inc Statement Reported'!B29/'Annual Income Statement US$'!B$7</f>
        <v>-659.10171910036013</v>
      </c>
      <c r="C29" s="60">
        <f>'Annual Inc Statement Reported'!C29/'Annual Income Statement US$'!C$7</f>
        <v>-736.22361781094833</v>
      </c>
      <c r="D29" s="60">
        <f>'Annual Inc Statement Reported'!D29/'Annual Income Statement US$'!D$7</f>
        <v>-678.24416790044415</v>
      </c>
      <c r="E29" s="60">
        <f>'Annual Inc Statement Reported'!E29/'Annual Income Statement US$'!E$7</f>
        <v>-561.27403379296948</v>
      </c>
      <c r="F29" s="60">
        <f>'Annual Inc Statement Reported'!F29/'Annual Income Statement US$'!F$7</f>
        <v>-521.76419717497845</v>
      </c>
      <c r="G29" s="60">
        <f>'Annual Inc Statement Reported'!G29/'Annual Income Statement US$'!G$7</f>
        <v>-512.66798681934517</v>
      </c>
      <c r="H29" s="60">
        <f>'Annual Inc Statement Reported'!H29/'Annual Income Statement US$'!H$7</f>
        <v>-615.7375267876007</v>
      </c>
      <c r="I29" s="60">
        <f>'Annual Inc Statement Reported'!I29/'Annual Income Statement US$'!I$7</f>
        <v>-736.44461628942304</v>
      </c>
      <c r="J29" s="60">
        <f>'Annual Inc Statement Reported'!J29/'Annual Income Statement US$'!J$7</f>
        <v>-1324.8783842252865</v>
      </c>
      <c r="K29" s="60">
        <f>'Annual Inc Statement Reported'!K29/'Annual Income Statement US$'!K$7</f>
        <v>-1496.7216821162108</v>
      </c>
      <c r="L29" s="60">
        <f>'Annual Inc Statement Reported'!L29/'Annual Income Statement US$'!L$7</f>
        <v>-1405.4958002356429</v>
      </c>
      <c r="M29" s="60">
        <f>'Annual Inc Statement Reported'!M29/'Annual Income Statement US$'!M$7</f>
        <v>-1274.4494070537503</v>
      </c>
    </row>
    <row r="30" spans="1:13" x14ac:dyDescent="0.3">
      <c r="A30" s="14" t="s">
        <v>29</v>
      </c>
      <c r="B30" s="22">
        <f t="shared" ref="B30:H30" si="34">B28+B29</f>
        <v>350.42079616381318</v>
      </c>
      <c r="C30" s="22">
        <f t="shared" si="34"/>
        <v>181.02201591780363</v>
      </c>
      <c r="D30" s="22">
        <f t="shared" si="34"/>
        <v>437.15737665559755</v>
      </c>
      <c r="E30" s="22">
        <f t="shared" si="34"/>
        <v>601.08758982326572</v>
      </c>
      <c r="F30" s="22">
        <f t="shared" si="34"/>
        <v>783.12674161621919</v>
      </c>
      <c r="G30" s="22">
        <f t="shared" si="34"/>
        <v>1177.1796216431985</v>
      </c>
      <c r="H30" s="22">
        <f t="shared" si="34"/>
        <v>1083.5773142977885</v>
      </c>
      <c r="I30" s="22">
        <f t="shared" ref="I30:J30" si="35">I28+I29</f>
        <v>1073.8533421626116</v>
      </c>
      <c r="J30" s="22">
        <f t="shared" si="35"/>
        <v>1154.349483285398</v>
      </c>
      <c r="K30" s="22">
        <f t="shared" ref="K30" si="36">K28+K29</f>
        <v>1243.4998869545564</v>
      </c>
      <c r="L30" s="22">
        <f t="shared" ref="L30:M30" si="37">L28+L29</f>
        <v>-2633.8793660446204</v>
      </c>
      <c r="M30" s="22">
        <f t="shared" si="37"/>
        <v>-2733.7132296319105</v>
      </c>
    </row>
    <row r="31" spans="1:13" x14ac:dyDescent="0.3">
      <c r="A31" s="17" t="s">
        <v>30</v>
      </c>
      <c r="B31" s="58">
        <f>'Annual Inc Statement Reported'!B31/'Annual Income Statement US$'!B$7</f>
        <v>0</v>
      </c>
      <c r="C31" s="58">
        <f>'Annual Inc Statement Reported'!C31/'Annual Income Statement US$'!C$7</f>
        <v>0</v>
      </c>
      <c r="D31" s="58">
        <f>'Annual Inc Statement Reported'!D31/'Annual Income Statement US$'!D$7</f>
        <v>0</v>
      </c>
      <c r="E31" s="58">
        <f>'Annual Inc Statement Reported'!E31/'Annual Income Statement US$'!E$7</f>
        <v>0</v>
      </c>
      <c r="F31" s="58">
        <f>'Annual Inc Statement Reported'!F31/'Annual Income Statement US$'!F$7</f>
        <v>0</v>
      </c>
      <c r="G31" s="58">
        <f>'Annual Inc Statement Reported'!G31/'Annual Income Statement US$'!G$7</f>
        <v>0</v>
      </c>
      <c r="H31" s="58">
        <f>'Annual Inc Statement Reported'!H31/'Annual Income Statement US$'!H$7</f>
        <v>0</v>
      </c>
      <c r="I31" s="58">
        <f>'Annual Inc Statement Reported'!I31/'Annual Income Statement US$'!I$7</f>
        <v>0</v>
      </c>
      <c r="J31" s="58">
        <f>'Annual Inc Statement Reported'!J31/'Annual Income Statement US$'!J$7</f>
        <v>0</v>
      </c>
      <c r="K31" s="58">
        <f>'Annual Inc Statement Reported'!K31/'Annual Income Statement US$'!K$7</f>
        <v>0</v>
      </c>
      <c r="L31" s="58">
        <f>'Annual Inc Statement Reported'!L31/'Annual Income Statement US$'!L$7</f>
        <v>0</v>
      </c>
      <c r="M31" s="58">
        <f>'Annual Inc Statement Reported'!M31/'Annual Income Statement US$'!M$7</f>
        <v>0</v>
      </c>
    </row>
    <row r="32" spans="1:13" x14ac:dyDescent="0.3">
      <c r="A32" s="17" t="s">
        <v>31</v>
      </c>
      <c r="B32" s="58">
        <f>'Annual Inc Statement Reported'!B32/'Annual Income Statement US$'!B$7</f>
        <v>-6.7948630835088677</v>
      </c>
      <c r="C32" s="58">
        <f>'Annual Inc Statement Reported'!C32/'Annual Income Statement US$'!C$7</f>
        <v>0</v>
      </c>
      <c r="D32" s="58">
        <f>'Annual Inc Statement Reported'!D32/'Annual Income Statement US$'!D$7</f>
        <v>-65.023408427033729</v>
      </c>
      <c r="E32" s="58">
        <f>'Annual Inc Statement Reported'!E32/'Annual Income Statement US$'!E$7</f>
        <v>0</v>
      </c>
      <c r="F32" s="58">
        <f>'Annual Inc Statement Reported'!F32/'Annual Income Statement US$'!F$7</f>
        <v>0</v>
      </c>
      <c r="G32" s="58">
        <f>'Annual Inc Statement Reported'!G32/'Annual Income Statement US$'!G$7</f>
        <v>0</v>
      </c>
      <c r="H32" s="58">
        <f>'Annual Inc Statement Reported'!H32/'Annual Income Statement US$'!H$7</f>
        <v>0</v>
      </c>
      <c r="I32" s="58">
        <f>'Annual Inc Statement Reported'!I32/'Annual Income Statement US$'!I$7</f>
        <v>40.057656952981169</v>
      </c>
      <c r="J32" s="58">
        <f>'Annual Inc Statement Reported'!J32/'Annual Income Statement US$'!J$7</f>
        <v>-145.0653093968281</v>
      </c>
      <c r="K32" s="58">
        <f>'Annual Inc Statement Reported'!K32/'Annual Income Statement US$'!K$7</f>
        <v>9.7972718366116514</v>
      </c>
      <c r="L32" s="58">
        <f>'Annual Inc Statement Reported'!L32/'Annual Income Statement US$'!L$7</f>
        <v>13.682490213218806</v>
      </c>
      <c r="M32" s="58">
        <f>'Annual Inc Statement Reported'!M32/'Annual Income Statement US$'!M$7</f>
        <v>13.861081164330818</v>
      </c>
    </row>
    <row r="33" spans="1:13" x14ac:dyDescent="0.3">
      <c r="A33" s="17" t="s">
        <v>32</v>
      </c>
      <c r="B33" s="58">
        <f>'Annual Inc Statement Reported'!B33/'Annual Income Statement US$'!B$7</f>
        <v>0</v>
      </c>
      <c r="C33" s="58">
        <f>'Annual Inc Statement Reported'!C33/'Annual Income Statement US$'!C$7</f>
        <v>0</v>
      </c>
      <c r="D33" s="58">
        <f>'Annual Inc Statement Reported'!D33/'Annual Income Statement US$'!D$7</f>
        <v>-55.019807130567003</v>
      </c>
      <c r="E33" s="58">
        <f>'Annual Inc Statement Reported'!E33/'Annual Income Statement US$'!E$7</f>
        <v>0</v>
      </c>
      <c r="F33" s="58">
        <f>'Annual Inc Statement Reported'!F33/'Annual Income Statement US$'!F$7</f>
        <v>0</v>
      </c>
      <c r="G33" s="58">
        <f>'Annual Inc Statement Reported'!G33/'Annual Income Statement US$'!G$7</f>
        <v>0</v>
      </c>
      <c r="H33" s="58">
        <f>'Annual Inc Statement Reported'!H33/'Annual Income Statement US$'!H$7</f>
        <v>0</v>
      </c>
      <c r="I33" s="58">
        <f>'Annual Inc Statement Reported'!I33/'Annual Income Statement US$'!I$7</f>
        <v>0</v>
      </c>
      <c r="J33" s="58">
        <f>'Annual Inc Statement Reported'!J33/'Annual Income Statement US$'!J$7</f>
        <v>0</v>
      </c>
      <c r="K33" s="58">
        <f>'Annual Inc Statement Reported'!K33/'Annual Income Statement US$'!K$7</f>
        <v>0</v>
      </c>
      <c r="L33" s="58">
        <f>'Annual Inc Statement Reported'!L33/'Annual Income Statement US$'!L$7</f>
        <v>0</v>
      </c>
      <c r="M33" s="58">
        <f>'Annual Inc Statement Reported'!M33/'Annual Income Statement US$'!M$7</f>
        <v>0</v>
      </c>
    </row>
    <row r="34" spans="1:13" x14ac:dyDescent="0.3">
      <c r="A34" s="17" t="s">
        <v>33</v>
      </c>
      <c r="B34" s="58">
        <f>'Annual Inc Statement Reported'!B34/'Annual Income Statement US$'!B$7</f>
        <v>0</v>
      </c>
      <c r="C34" s="58">
        <f>'Annual Inc Statement Reported'!C34/'Annual Income Statement US$'!C$7</f>
        <v>0</v>
      </c>
      <c r="D34" s="58">
        <f>'Annual Inc Statement Reported'!D34/'Annual Income Statement US$'!D$7</f>
        <v>0</v>
      </c>
      <c r="E34" s="58">
        <f>'Annual Inc Statement Reported'!E34/'Annual Income Statement US$'!E$7</f>
        <v>0</v>
      </c>
      <c r="F34" s="58">
        <f>'Annual Inc Statement Reported'!F34/'Annual Income Statement US$'!F$7</f>
        <v>0</v>
      </c>
      <c r="G34" s="58">
        <f>'Annual Inc Statement Reported'!G34/'Annual Income Statement US$'!G$7</f>
        <v>0</v>
      </c>
      <c r="H34" s="58">
        <f>'Annual Inc Statement Reported'!H34/'Annual Income Statement US$'!H$7</f>
        <v>0</v>
      </c>
      <c r="I34" s="58">
        <f>'Annual Inc Statement Reported'!I34/'Annual Income Statement US$'!I$7</f>
        <v>0</v>
      </c>
      <c r="J34" s="58">
        <f>'Annual Inc Statement Reported'!J34/'Annual Income Statement US$'!J$7</f>
        <v>0</v>
      </c>
      <c r="K34" s="58">
        <f>'Annual Inc Statement Reported'!K34/'Annual Income Statement US$'!K$7</f>
        <v>0</v>
      </c>
      <c r="L34" s="58">
        <f>'Annual Inc Statement Reported'!L34/'Annual Income Statement US$'!L$7</f>
        <v>-239.4435787313291</v>
      </c>
      <c r="M34" s="58">
        <f>'Annual Inc Statement Reported'!M34/'Annual Income Statement US$'!M$7</f>
        <v>0.7700600646850454</v>
      </c>
    </row>
    <row r="35" spans="1:13" x14ac:dyDescent="0.3">
      <c r="A35" s="17" t="s">
        <v>34</v>
      </c>
      <c r="B35" s="58">
        <f>'Annual Inc Statement Reported'!B35/'Annual Income Statement US$'!B$7</f>
        <v>44.651957405915418</v>
      </c>
      <c r="C35" s="58">
        <f>'Annual Inc Statement Reported'!C35/'Annual Income Statement US$'!C$7</f>
        <v>0</v>
      </c>
      <c r="D35" s="58">
        <f>'Annual Inc Statement Reported'!D35/'Annual Income Statement US$'!D$7</f>
        <v>0</v>
      </c>
      <c r="E35" s="58">
        <f>'Annual Inc Statement Reported'!E35/'Annual Income Statement US$'!E$7</f>
        <v>0</v>
      </c>
      <c r="F35" s="58">
        <f>'Annual Inc Statement Reported'!F35/'Annual Income Statement US$'!F$7</f>
        <v>0</v>
      </c>
      <c r="G35" s="58">
        <f>'Annual Inc Statement Reported'!G35/'Annual Income Statement US$'!G$7</f>
        <v>-6.2615937321446742</v>
      </c>
      <c r="H35" s="58">
        <f>'Annual Inc Statement Reported'!H35/'Annual Income Statement US$'!H$7</f>
        <v>-68.666807521656452</v>
      </c>
      <c r="I35" s="58">
        <f>'Annual Inc Statement Reported'!I35/'Annual Income Statement US$'!I$7</f>
        <v>0</v>
      </c>
      <c r="J35" s="58">
        <f>'Annual Inc Statement Reported'!J35/'Annual Income Statement US$'!J$7</f>
        <v>0</v>
      </c>
      <c r="K35" s="58">
        <f>'Annual Inc Statement Reported'!K35/'Annual Income Statement US$'!K$7</f>
        <v>0</v>
      </c>
      <c r="L35" s="58">
        <f>'Annual Inc Statement Reported'!L35/'Annual Income Statement US$'!L$7</f>
        <v>0</v>
      </c>
      <c r="M35" s="58">
        <f>'Annual Inc Statement Reported'!M35/'Annual Income Statement US$'!M$7</f>
        <v>-3.0802402587401816</v>
      </c>
    </row>
    <row r="36" spans="1:13" x14ac:dyDescent="0.3">
      <c r="A36" s="17" t="s">
        <v>35</v>
      </c>
      <c r="B36" s="60">
        <f>'Annual Inc Statement Reported'!B36/'Annual Income Statement US$'!B$7</f>
        <v>-19.413894524311051</v>
      </c>
      <c r="C36" s="60">
        <f>'Annual Inc Statement Reported'!C36/'Annual Income Statement US$'!C$7</f>
        <v>-32.361477705975751</v>
      </c>
      <c r="D36" s="60">
        <f>'Annual Inc Statement Reported'!D36/'Annual Income Statement US$'!D$7</f>
        <v>-22.007922852226802</v>
      </c>
      <c r="E36" s="60">
        <f>'Annual Inc Statement Reported'!E36/'Annual Income Statement US$'!E$7</f>
        <v>-201.98096717809281</v>
      </c>
      <c r="F36" s="60">
        <f>'Annual Inc Statement Reported'!F36/'Annual Income Statement US$'!F$7</f>
        <v>-128.75948880561162</v>
      </c>
      <c r="G36" s="60">
        <f>'Annual Inc Statement Reported'!G36/'Annual Income Statement US$'!G$7</f>
        <v>-82.183417734398844</v>
      </c>
      <c r="H36" s="60">
        <f>'Annual Inc Statement Reported'!H36/'Annual Income Statement US$'!H$7</f>
        <v>-43.011077238839761</v>
      </c>
      <c r="I36" s="60">
        <f>'Annual Inc Statement Reported'!I36/'Annual Income Statement US$'!I$7</f>
        <v>-23.110186703642984</v>
      </c>
      <c r="J36" s="60">
        <f>'Annual Inc Statement Reported'!J36/'Annual Income Statement US$'!J$7</f>
        <v>-27.778463501520275</v>
      </c>
      <c r="K36" s="60">
        <f>'Annual Inc Statement Reported'!K36/'Annual Income Statement US$'!K$7</f>
        <v>-45.971814002562361</v>
      </c>
      <c r="L36" s="60">
        <f>'Annual Inc Statement Reported'!L36/'Annual Income Statement US$'!L$7</f>
        <v>0</v>
      </c>
      <c r="M36" s="60">
        <f>'Annual Inc Statement Reported'!M36/'Annual Income Statement US$'!M$7</f>
        <v>12.320961034960726</v>
      </c>
    </row>
    <row r="37" spans="1:13" x14ac:dyDescent="0.3">
      <c r="A37" s="14" t="s">
        <v>36</v>
      </c>
      <c r="B37" s="22">
        <f t="shared" ref="B37:H37" si="38">SUM(B30:B36)</f>
        <v>368.8639959619087</v>
      </c>
      <c r="C37" s="22">
        <f t="shared" si="38"/>
        <v>148.66053821182788</v>
      </c>
      <c r="D37" s="22">
        <f t="shared" si="38"/>
        <v>295.10623824577004</v>
      </c>
      <c r="E37" s="22">
        <f t="shared" si="38"/>
        <v>399.10662264517293</v>
      </c>
      <c r="F37" s="22">
        <f t="shared" si="38"/>
        <v>654.36725281060762</v>
      </c>
      <c r="G37" s="22">
        <f t="shared" si="38"/>
        <v>1088.734610176655</v>
      </c>
      <c r="H37" s="22">
        <f t="shared" si="38"/>
        <v>971.89942953729224</v>
      </c>
      <c r="I37" s="22">
        <f t="shared" ref="I37:J37" si="39">SUM(I30:I36)</f>
        <v>1090.8008124119499</v>
      </c>
      <c r="J37" s="22">
        <f t="shared" si="39"/>
        <v>981.5057103870497</v>
      </c>
      <c r="K37" s="22">
        <f t="shared" ref="K37" si="40">SUM(K30:K36)</f>
        <v>1207.3253447886057</v>
      </c>
      <c r="L37" s="22">
        <f t="shared" ref="L37:M37" si="41">SUM(L30:L36)</f>
        <v>-2859.6404545627306</v>
      </c>
      <c r="M37" s="22">
        <f t="shared" si="41"/>
        <v>-2709.8413676266741</v>
      </c>
    </row>
    <row r="38" spans="1:13" x14ac:dyDescent="0.3">
      <c r="A38" s="17" t="s">
        <v>37</v>
      </c>
      <c r="B38" s="58">
        <f>'Annual Inc Statement Reported'!B38/'Annual Income Statement US$'!B$7</f>
        <v>-365.95191178326331</v>
      </c>
      <c r="C38" s="58">
        <f>'Annual Inc Statement Reported'!C38/'Annual Income Statement US$'!C$7</f>
        <v>-319.56959234651055</v>
      </c>
      <c r="D38" s="58">
        <f>'Annual Inc Statement Reported'!D38/'Annual Income Statement US$'!D$7</f>
        <v>-286.10299707894842</v>
      </c>
      <c r="E38" s="58">
        <f>'Annual Inc Statement Reported'!E38/'Annual Income Statement US$'!E$7</f>
        <v>-340.84288211303164</v>
      </c>
      <c r="F38" s="58">
        <f>'Annual Inc Statement Reported'!F38/'Annual Income Statement US$'!F$7</f>
        <v>-280.58037859133276</v>
      </c>
      <c r="G38" s="58">
        <f>'Annual Inc Statement Reported'!G38/'Annual Income Statement US$'!G$7</f>
        <v>-249.68105006926888</v>
      </c>
      <c r="H38" s="58">
        <f>'Annual Inc Statement Reported'!H38/'Annual Income Statement US$'!H$7</f>
        <v>-238.44737556970813</v>
      </c>
      <c r="I38" s="58">
        <f>'Annual Inc Statement Reported'!I38/'Annual Income Statement US$'!I$7</f>
        <v>-211.84337811672734</v>
      </c>
      <c r="J38" s="58">
        <f>'Annual Inc Statement Reported'!J38/'Annual Income Statement US$'!J$7</f>
        <v>-410.50396063357744</v>
      </c>
      <c r="K38" s="58">
        <f>'Annual Inc Statement Reported'!K38/'Annual Income Statement US$'!K$7</f>
        <v>-361.74542165950714</v>
      </c>
      <c r="L38" s="58">
        <f>'Annual Inc Statement Reported'!L38/'Annual Income Statement US$'!L$7</f>
        <v>-498.65075443730757</v>
      </c>
      <c r="M38" s="58">
        <f>'Annual Inc Statement Reported'!M38/'Annual Income Statement US$'!M$7</f>
        <v>-555.21330663791775</v>
      </c>
    </row>
    <row r="39" spans="1:13" x14ac:dyDescent="0.3">
      <c r="A39" s="17" t="s">
        <v>38</v>
      </c>
      <c r="B39" s="58">
        <f>'Annual Inc Statement Reported'!B39/'Annual Income Statement US$'!B$7</f>
        <v>18.443199798095499</v>
      </c>
      <c r="C39" s="58">
        <f>'Annual Inc Statement Reported'!C39/'Annual Income Statement US$'!C$7</f>
        <v>36.40666241922272</v>
      </c>
      <c r="D39" s="58">
        <f>'Annual Inc Statement Reported'!D39/'Annual Income Statement US$'!D$7</f>
        <v>37.013324796926895</v>
      </c>
      <c r="E39" s="58">
        <f>'Annual Inc Statement Reported'!E39/'Annual Income Statement US$'!E$7</f>
        <v>31.073994950475818</v>
      </c>
      <c r="F39" s="58">
        <f>'Annual Inc Statement Reported'!F39/'Annual Income Statement US$'!F$7</f>
        <v>37.474776592678005</v>
      </c>
      <c r="G39" s="58">
        <f>'Annual Inc Statement Reported'!G39/'Annual Income Statement US$'!G$7</f>
        <v>36.004163959831878</v>
      </c>
      <c r="H39" s="58">
        <f>'Annual Inc Statement Reported'!H39/'Annual Income Statement US$'!H$7</f>
        <v>36.219854516917692</v>
      </c>
      <c r="I39" s="58">
        <f>'Annual Inc Statement Reported'!I39/'Annual Income Statement US$'!I$7</f>
        <v>46.220373407285969</v>
      </c>
      <c r="J39" s="58">
        <f>'Annual Inc Statement Reported'!J39/'Annual Income Statement US$'!J$7</f>
        <v>83.335390504560834</v>
      </c>
      <c r="K39" s="58">
        <f>'Annual Inc Statement Reported'!K39/'Annual Income Statement US$'!K$7</f>
        <v>123.5963524003316</v>
      </c>
      <c r="L39" s="58">
        <f>'Annual Inc Statement Reported'!L39/'Annual Income Statement US$'!L$7</f>
        <v>100.33826156360458</v>
      </c>
      <c r="M39" s="58">
        <f>'Annual Inc Statement Reported'!M39/'Annual Income Statement US$'!M$7</f>
        <v>61.604805174803637</v>
      </c>
    </row>
    <row r="40" spans="1:13" x14ac:dyDescent="0.3">
      <c r="A40" s="17" t="s">
        <v>39</v>
      </c>
      <c r="B40" s="58">
        <f>'Annual Inc Statement Reported'!B40/'Annual Income Statement US$'!B$7</f>
        <v>-2.9120841786466576</v>
      </c>
      <c r="C40" s="58">
        <f>'Annual Inc Statement Reported'!C40/'Annual Income Statement US$'!C$7</f>
        <v>-63.711659233639757</v>
      </c>
      <c r="D40" s="58">
        <f>'Annual Inc Statement Reported'!D40/'Annual Income Statement US$'!D$7</f>
        <v>-20.007202592933456</v>
      </c>
      <c r="E40" s="58">
        <f>'Annual Inc Statement Reported'!E40/'Annual Income Statement US$'!E$7</f>
        <v>35.929306661487665</v>
      </c>
      <c r="F40" s="58">
        <f>'Annual Inc Statement Reported'!F40/'Annual Income Statement US$'!F$7</f>
        <v>-0.96089170750456432</v>
      </c>
      <c r="G40" s="58">
        <f>'Annual Inc Statement Reported'!G40/'Annual Income Statement US$'!G$7</f>
        <v>-13.305886680807433</v>
      </c>
      <c r="H40" s="58">
        <f>'Annual Inc Statement Reported'!H40/'Annual Income Statement US$'!H$7</f>
        <v>3.0183212097431409</v>
      </c>
      <c r="I40" s="58">
        <f>'Annual Inc Statement Reported'!I40/'Annual Income Statement US$'!I$7</f>
        <v>17.717809806126287</v>
      </c>
      <c r="J40" s="58">
        <f>'Annual Inc Statement Reported'!J40/'Annual Income Statement US$'!J$7</f>
        <v>0</v>
      </c>
      <c r="K40" s="58">
        <f>'Annual Inc Statement Reported'!K40/'Annual Income Statement US$'!K$7</f>
        <v>0</v>
      </c>
      <c r="L40" s="58">
        <f>'Annual Inc Statement Reported'!L40/'Annual Income Statement US$'!L$7</f>
        <v>-183.95347953327504</v>
      </c>
      <c r="M40" s="58">
        <f>'Annual Inc Statement Reported'!M40/'Annual Income Statement US$'!M$7</f>
        <v>-263.36054212228555</v>
      </c>
    </row>
    <row r="41" spans="1:13" x14ac:dyDescent="0.3">
      <c r="A41" s="17" t="s">
        <v>40</v>
      </c>
      <c r="B41" s="58">
        <f>'Annual Inc Statement Reported'!B41/'Annual Income Statement US$'!B$7</f>
        <v>140.75073530125511</v>
      </c>
      <c r="C41" s="58">
        <f>'Annual Inc Statement Reported'!C41/'Annual Income Statement US$'!C$7</f>
        <v>-54.609993628834076</v>
      </c>
      <c r="D41" s="58">
        <f>'Annual Inc Statement Reported'!D41/'Annual Income Statement US$'!D$7</f>
        <v>106.03817374254731</v>
      </c>
      <c r="E41" s="58">
        <f>'Annual Inc Statement Reported'!E41/'Annual Income Statement US$'!E$7</f>
        <v>-116.52748106428432</v>
      </c>
      <c r="F41" s="58">
        <f>'Annual Inc Statement Reported'!F41/'Annual Income Statement US$'!F$7</f>
        <v>-294.99375420390123</v>
      </c>
      <c r="G41" s="58">
        <f>'Annual Inc Statement Reported'!G41/'Annual Income Statement US$'!G$7</f>
        <v>-596.41680298678023</v>
      </c>
      <c r="H41" s="58">
        <f>'Annual Inc Statement Reported'!H41/'Annual Income Statement US$'!H$7</f>
        <v>-28.67405149255984</v>
      </c>
      <c r="I41" s="58">
        <f>'Annual Inc Statement Reported'!I41/'Annual Income Statement US$'!I$7</f>
        <v>92.440746814571938</v>
      </c>
      <c r="J41" s="58">
        <f>'Annual Inc Statement Reported'!J41/'Annual Income Statement US$'!J$7</f>
        <v>-445.99866399663108</v>
      </c>
      <c r="K41" s="58">
        <f>'Annual Inc Statement Reported'!K41/'Annual Income Statement US$'!K$7</f>
        <v>376.06451126686261</v>
      </c>
      <c r="L41" s="58">
        <f>'Annual Inc Statement Reported'!L41/'Annual Income Statement US$'!L$7</f>
        <v>-222.72053513739502</v>
      </c>
      <c r="M41" s="58">
        <f>'Annual Inc Statement Reported'!M41/'Annual Income Statement US$'!M$7</f>
        <v>10.780840905590637</v>
      </c>
    </row>
    <row r="42" spans="1:13" x14ac:dyDescent="0.3">
      <c r="A42" s="17" t="s">
        <v>41</v>
      </c>
      <c r="B42" s="60">
        <f>'Annual Inc Statement Reported'!B42/'Annual Income Statement US$'!B$7</f>
        <v>0</v>
      </c>
      <c r="C42" s="60">
        <f>'Annual Inc Statement Reported'!C42/'Annual Income Statement US$'!C$7</f>
        <v>0</v>
      </c>
      <c r="D42" s="60">
        <f>'Annual Inc Statement Reported'!D42/'Annual Income Statement US$'!D$7</f>
        <v>0</v>
      </c>
      <c r="E42" s="60">
        <f>'Annual Inc Statement Reported'!E42/'Annual Income Statement US$'!E$7</f>
        <v>-6.7974363954165851</v>
      </c>
      <c r="F42" s="60">
        <f>'Annual Inc Statement Reported'!F42/'Annual Income Statement US$'!F$7</f>
        <v>-14.413375612568464</v>
      </c>
      <c r="G42" s="60">
        <f>'Annual Inc Statement Reported'!G42/'Annual Income Statement US$'!G$7</f>
        <v>-24.263675712060611</v>
      </c>
      <c r="H42" s="60">
        <f>'Annual Inc Statement Reported'!H42/'Annual Income Statement US$'!H$7</f>
        <v>-82.249252965500588</v>
      </c>
      <c r="I42" s="60">
        <f>'Annual Inc Statement Reported'!I42/'Annual Income Statement US$'!I$7</f>
        <v>-50.072071191226463</v>
      </c>
      <c r="J42" s="60">
        <f>'Annual Inc Statement Reported'!J42/'Annual Income Statement US$'!J$7</f>
        <v>-32.40820741844032</v>
      </c>
      <c r="K42" s="60">
        <f>'Annual Inc Statement Reported'!K42/'Annual Income Statement US$'!K$7</f>
        <v>-7.5363629512397319</v>
      </c>
      <c r="L42" s="60">
        <f>'Annual Inc Statement Reported'!L42/'Annual Income Statement US$'!L$7</f>
        <v>-27.364980426437612</v>
      </c>
      <c r="M42" s="60">
        <f>'Annual Inc Statement Reported'!M42/'Annual Income Statement US$'!M$7</f>
        <v>-119.35931002618204</v>
      </c>
    </row>
    <row r="43" spans="1:13" x14ac:dyDescent="0.3">
      <c r="A43" s="14" t="s">
        <v>42</v>
      </c>
      <c r="B43" s="22">
        <f t="shared" ref="B43:H43" si="42">SUM(B37:B42)</f>
        <v>159.19393509934935</v>
      </c>
      <c r="C43" s="22">
        <f t="shared" si="42"/>
        <v>-252.82404457793376</v>
      </c>
      <c r="D43" s="22">
        <f t="shared" si="42"/>
        <v>132.04753711336238</v>
      </c>
      <c r="E43" s="22">
        <f t="shared" si="42"/>
        <v>1.9421246844038764</v>
      </c>
      <c r="F43" s="22">
        <f t="shared" si="42"/>
        <v>100.89362928797858</v>
      </c>
      <c r="G43" s="22">
        <f t="shared" si="42"/>
        <v>241.07135868756973</v>
      </c>
      <c r="H43" s="22">
        <f t="shared" si="42"/>
        <v>661.76692523618453</v>
      </c>
      <c r="I43" s="22">
        <f t="shared" ref="I43:J43" si="43">SUM(I37:I42)</f>
        <v>985.26429313198025</v>
      </c>
      <c r="J43" s="22">
        <f t="shared" si="43"/>
        <v>175.93026884296165</v>
      </c>
      <c r="K43" s="22">
        <f t="shared" ref="K43" si="44">SUM(K37:K42)</f>
        <v>1337.704423845053</v>
      </c>
      <c r="L43" s="22">
        <f t="shared" ref="L43:M43" si="45">SUM(L37:L42)</f>
        <v>-3691.9919425335415</v>
      </c>
      <c r="M43" s="22">
        <f t="shared" si="45"/>
        <v>-3575.3888803326654</v>
      </c>
    </row>
    <row r="44" spans="1:13" x14ac:dyDescent="0.3">
      <c r="A44" s="17" t="s">
        <v>3</v>
      </c>
      <c r="B44" s="60">
        <f>'Annual Inc Statement Reported'!B44/'Annual Income Statement US$'!B$7</f>
        <v>-46.593346858346521</v>
      </c>
      <c r="C44" s="60">
        <f>'Annual Inc Statement Reported'!C44/'Annual Income Statement US$'!C$7</f>
        <v>1.0112961783117422</v>
      </c>
      <c r="D44" s="60">
        <f>'Annual Inc Statement Reported'!D44/'Annual Income Statement US$'!D$7</f>
        <v>-1.0003601296466729</v>
      </c>
      <c r="E44" s="60">
        <f>'Annual Inc Statement Reported'!E44/'Annual Income Statement US$'!E$7</f>
        <v>7.7684987376189545</v>
      </c>
      <c r="F44" s="60">
        <f>'Annual Inc Statement Reported'!F44/'Annual Income Statement US$'!F$7</f>
        <v>0</v>
      </c>
      <c r="G44" s="60">
        <f>'Annual Inc Statement Reported'!G44/'Annual Income Statement US$'!G$7</f>
        <v>0</v>
      </c>
      <c r="H44" s="60">
        <f>'Annual Inc Statement Reported'!H44/'Annual Income Statement US$'!H$7</f>
        <v>-0.75458030243578522</v>
      </c>
      <c r="I44" s="60">
        <f>'Annual Inc Statement Reported'!I44/'Annual Income Statement US$'!I$7</f>
        <v>584.68772360216747</v>
      </c>
      <c r="J44" s="60">
        <f>'Annual Inc Statement Reported'!J44/'Annual Income Statement US$'!J$7</f>
        <v>-147.38018135528813</v>
      </c>
      <c r="K44" s="60">
        <f>'Annual Inc Statement Reported'!K44/'Annual Income Statement US$'!K$7</f>
        <v>-225.33725224206799</v>
      </c>
      <c r="L44" s="60">
        <f>'Annual Inc Statement Reported'!L44/'Annual Income Statement US$'!L$7</f>
        <v>156.58849910683745</v>
      </c>
      <c r="M44" s="60">
        <f>'Annual Inc Statement Reported'!M44/'Annual Income Statement US$'!M$7</f>
        <v>284.15216386878177</v>
      </c>
    </row>
    <row r="45" spans="1:13" x14ac:dyDescent="0.3">
      <c r="A45" s="14" t="s">
        <v>43</v>
      </c>
      <c r="B45" s="22">
        <f t="shared" ref="B45:H45" si="46">SUM(B43:B44)</f>
        <v>112.60058824100282</v>
      </c>
      <c r="C45" s="22">
        <f t="shared" si="46"/>
        <v>-251.81274839962202</v>
      </c>
      <c r="D45" s="22">
        <f t="shared" si="46"/>
        <v>131.0471769837157</v>
      </c>
      <c r="E45" s="22">
        <f t="shared" si="46"/>
        <v>9.7106234220228309</v>
      </c>
      <c r="F45" s="22">
        <f t="shared" si="46"/>
        <v>100.89362928797858</v>
      </c>
      <c r="G45" s="22">
        <f t="shared" si="46"/>
        <v>241.07135868756973</v>
      </c>
      <c r="H45" s="22">
        <f t="shared" si="46"/>
        <v>661.01234493374875</v>
      </c>
      <c r="I45" s="22">
        <f t="shared" ref="I45:J45" si="47">SUM(I43:I44)</f>
        <v>1569.9520167341477</v>
      </c>
      <c r="J45" s="22">
        <f t="shared" si="47"/>
        <v>28.550087487673522</v>
      </c>
      <c r="K45" s="22">
        <f t="shared" ref="K45" si="48">SUM(K43:K44)</f>
        <v>1112.3671716029851</v>
      </c>
      <c r="L45" s="22">
        <f t="shared" ref="L45:M45" si="49">SUM(L43:L44)</f>
        <v>-3535.4034434267041</v>
      </c>
      <c r="M45" s="22">
        <f t="shared" si="49"/>
        <v>-3291.2367164638836</v>
      </c>
    </row>
    <row r="46" spans="1:13" x14ac:dyDescent="0.3">
      <c r="A46" s="17" t="s">
        <v>8</v>
      </c>
      <c r="B46" s="58">
        <f>'Annual Inc Statement Reported'!B46/'Annual Income Statement US$'!B$7</f>
        <v>8.7362525359399736</v>
      </c>
      <c r="C46" s="58">
        <f>'Annual Inc Statement Reported'!C46/'Annual Income Statement US$'!C$7</f>
        <v>6.067777069870453</v>
      </c>
      <c r="D46" s="58">
        <f>'Annual Inc Statement Reported'!D46/'Annual Income Statement US$'!D$7</f>
        <v>4.0014405185866915</v>
      </c>
      <c r="E46" s="58">
        <f>'Annual Inc Statement Reported'!E46/'Annual Income Statement US$'!E$7</f>
        <v>3.8842493688094772</v>
      </c>
      <c r="F46" s="58">
        <f>'Annual Inc Statement Reported'!F46/'Annual Income Statement US$'!F$7</f>
        <v>4.8044585375228213</v>
      </c>
      <c r="G46" s="58">
        <f>'Annual Inc Statement Reported'!G46/'Annual Income Statement US$'!G$7</f>
        <v>3.913496082590421</v>
      </c>
      <c r="H46" s="58">
        <f>'Annual Inc Statement Reported'!H46/'Annual Income Statement US$'!H$7</f>
        <v>0</v>
      </c>
      <c r="I46" s="58">
        <f>'Annual Inc Statement Reported'!I46/'Annual Income Statement US$'!I$7</f>
        <v>0</v>
      </c>
      <c r="J46" s="58">
        <f>'Annual Inc Statement Reported'!J46/'Annual Income Statement US$'!J$7</f>
        <v>0</v>
      </c>
      <c r="K46" s="58">
        <f>'Annual Inc Statement Reported'!K46/'Annual Income Statement US$'!K$7</f>
        <v>0</v>
      </c>
      <c r="L46" s="58">
        <f>'Annual Inc Statement Reported'!L46/'Annual Income Statement US$'!L$7</f>
        <v>0</v>
      </c>
      <c r="M46" s="58">
        <f>'Annual Inc Statement Reported'!M46/'Annual Income Statement US$'!M$7</f>
        <v>0</v>
      </c>
    </row>
    <row r="47" spans="1:13" ht="15" thickBot="1" x14ac:dyDescent="0.35">
      <c r="A47" s="14" t="s">
        <v>44</v>
      </c>
      <c r="B47" s="24">
        <f t="shared" ref="B47:G47" si="50">B45-B46</f>
        <v>103.86433570506286</v>
      </c>
      <c r="C47" s="24">
        <f t="shared" si="50"/>
        <v>-257.88052546949245</v>
      </c>
      <c r="D47" s="24">
        <f t="shared" si="50"/>
        <v>127.04573646512901</v>
      </c>
      <c r="E47" s="24">
        <f t="shared" si="50"/>
        <v>5.8263740532133532</v>
      </c>
      <c r="F47" s="24">
        <f t="shared" si="50"/>
        <v>96.089170750455764</v>
      </c>
      <c r="G47" s="24">
        <f t="shared" si="50"/>
        <v>237.1578626049793</v>
      </c>
      <c r="H47" s="24">
        <f>H45-H46</f>
        <v>661.01234493374875</v>
      </c>
      <c r="I47" s="24">
        <f t="shared" ref="I47:J47" si="51">I45-I46</f>
        <v>1569.9520167341477</v>
      </c>
      <c r="J47" s="24">
        <f t="shared" si="51"/>
        <v>28.550087487673522</v>
      </c>
      <c r="K47" s="24">
        <f t="shared" ref="K47" si="52">K45-K46</f>
        <v>1112.3671716029851</v>
      </c>
      <c r="L47" s="24">
        <f t="shared" ref="L47:M47" si="53">L45-L46</f>
        <v>-3535.4034434267041</v>
      </c>
      <c r="M47" s="24">
        <f t="shared" si="53"/>
        <v>-3291.2367164638836</v>
      </c>
    </row>
    <row r="48" spans="1:13" ht="15" thickTop="1" x14ac:dyDescent="0.3">
      <c r="A48" s="14"/>
      <c r="B48" s="51"/>
      <c r="C48" s="51"/>
      <c r="D48" s="51"/>
      <c r="E48" s="51"/>
      <c r="F48" s="51"/>
      <c r="G48" s="51"/>
      <c r="H48" s="51"/>
      <c r="I48" s="51"/>
      <c r="J48" s="51"/>
      <c r="K48" s="51"/>
      <c r="L48" s="51"/>
      <c r="M48" s="51"/>
    </row>
    <row r="49" spans="1:13" x14ac:dyDescent="0.3">
      <c r="A49" s="8" t="s">
        <v>2</v>
      </c>
      <c r="B49" s="10"/>
      <c r="C49" s="10"/>
      <c r="D49" s="10"/>
      <c r="E49" s="10"/>
      <c r="F49" s="10"/>
      <c r="G49" s="10"/>
      <c r="H49" s="10"/>
      <c r="I49" s="10"/>
      <c r="J49" s="10"/>
      <c r="K49" s="10"/>
      <c r="L49" s="10"/>
      <c r="M49" s="10"/>
    </row>
    <row r="50" spans="1:13" x14ac:dyDescent="0.3">
      <c r="A50" s="85" t="str">
        <f>'Annual Operational Data'!A31</f>
        <v>RPMs</v>
      </c>
      <c r="B50" s="12">
        <f>'Annual Operational Data'!B31</f>
        <v>51875</v>
      </c>
      <c r="C50" s="12">
        <f>'Annual Operational Data'!C31</f>
        <v>54223</v>
      </c>
      <c r="D50" s="12">
        <f>'Annual Operational Data'!D31</f>
        <v>55646</v>
      </c>
      <c r="E50" s="12">
        <f>'Annual Operational Data'!E31</f>
        <v>56791</v>
      </c>
      <c r="F50" s="12">
        <f>'Annual Operational Data'!F31</f>
        <v>61616</v>
      </c>
      <c r="G50" s="12">
        <f>'Annual Operational Data'!G31</f>
        <v>67545</v>
      </c>
      <c r="H50" s="12">
        <f>'Annual Operational Data'!H31</f>
        <v>76481</v>
      </c>
      <c r="I50" s="12">
        <f>'Annual Operational Data'!I31</f>
        <v>85137</v>
      </c>
      <c r="J50" s="12">
        <f>'Annual Operational Data'!J31</f>
        <v>92360</v>
      </c>
      <c r="K50" s="12">
        <f>'Annual Operational Data'!K31</f>
        <v>94113</v>
      </c>
      <c r="L50" s="12">
        <f>'Annual Operational Data'!L31</f>
        <v>23239</v>
      </c>
      <c r="M50" s="12">
        <f>'Annual Operational Data'!M31</f>
        <v>13865</v>
      </c>
    </row>
    <row r="51" spans="1:13" x14ac:dyDescent="0.3">
      <c r="A51" s="85" t="s">
        <v>0</v>
      </c>
      <c r="B51" s="40"/>
      <c r="C51" s="2">
        <f>IFERROR((C50/B50)-1,"N/A")</f>
        <v>4.5262650602409638E-2</v>
      </c>
      <c r="D51" s="2">
        <f t="shared" ref="D51:H51" si="54">IFERROR((D50/C50)-1,"N/A")</f>
        <v>2.6243476015712863E-2</v>
      </c>
      <c r="E51" s="2">
        <f t="shared" si="54"/>
        <v>2.0576501455630281E-2</v>
      </c>
      <c r="F51" s="2">
        <f t="shared" si="54"/>
        <v>8.4960645172650562E-2</v>
      </c>
      <c r="G51" s="2">
        <f t="shared" si="54"/>
        <v>9.6225006491820197E-2</v>
      </c>
      <c r="H51" s="2">
        <f t="shared" si="54"/>
        <v>0.13229698719372274</v>
      </c>
      <c r="I51" s="2">
        <f t="shared" ref="I51" si="55">IFERROR((I50/H50)-1,"N/A")</f>
        <v>0.11317843647441839</v>
      </c>
      <c r="J51" s="2">
        <f t="shared" ref="J51:K51" si="56">IFERROR((J50/I50)-1,"N/A")</f>
        <v>8.4839728907525558E-2</v>
      </c>
      <c r="K51" s="2">
        <f t="shared" si="56"/>
        <v>1.8980077955825125E-2</v>
      </c>
      <c r="L51" s="2">
        <f t="shared" ref="L51" si="57">IFERROR((L50/K50)-1,"N/A")</f>
        <v>-0.75307343300075447</v>
      </c>
      <c r="M51" s="2">
        <f t="shared" ref="M51" si="58">IFERROR((M50/L50)-1,"N/A")</f>
        <v>-0.40337363914109903</v>
      </c>
    </row>
    <row r="52" spans="1:13" x14ac:dyDescent="0.3">
      <c r="A52" s="85" t="str">
        <f>'Annual Operational Data'!A33</f>
        <v>ASMs</v>
      </c>
      <c r="B52" s="12">
        <f>'Annual Operational Data'!B33</f>
        <v>63496</v>
      </c>
      <c r="C52" s="12">
        <f>'Annual Operational Data'!C33</f>
        <v>66460</v>
      </c>
      <c r="D52" s="12">
        <f>'Annual Operational Data'!D33</f>
        <v>67269</v>
      </c>
      <c r="E52" s="12">
        <f>'Annual Operational Data'!E33</f>
        <v>68573</v>
      </c>
      <c r="F52" s="12">
        <f>'Annual Operational Data'!F33</f>
        <v>73889</v>
      </c>
      <c r="G52" s="12">
        <f>'Annual Operational Data'!G33</f>
        <v>80871</v>
      </c>
      <c r="H52" s="12">
        <f>'Annual Operational Data'!H33</f>
        <v>92726</v>
      </c>
      <c r="I52" s="12">
        <f>'Annual Operational Data'!I33</f>
        <v>103492</v>
      </c>
      <c r="J52" s="12">
        <f>'Annual Operational Data'!J33</f>
        <v>110866</v>
      </c>
      <c r="K52" s="12">
        <f>'Annual Operational Data'!K33</f>
        <v>112814</v>
      </c>
      <c r="L52" s="12">
        <f>'Annual Operational Data'!L33</f>
        <v>37703</v>
      </c>
      <c r="M52" s="12">
        <f>'Annual Operational Data'!M33</f>
        <v>25327</v>
      </c>
    </row>
    <row r="53" spans="1:13" x14ac:dyDescent="0.3">
      <c r="A53" s="85" t="s">
        <v>0</v>
      </c>
      <c r="B53" s="40"/>
      <c r="C53" s="2">
        <f>IFERROR((C52/B52)-1,"N/A")</f>
        <v>4.668010583343829E-2</v>
      </c>
      <c r="D53" s="2">
        <f t="shared" ref="D53:H53" si="59">IFERROR((D52/C52)-1,"N/A")</f>
        <v>1.2172735479987873E-2</v>
      </c>
      <c r="E53" s="2">
        <f t="shared" si="59"/>
        <v>1.9384857809689349E-2</v>
      </c>
      <c r="F53" s="2">
        <f t="shared" si="59"/>
        <v>7.7523223426129828E-2</v>
      </c>
      <c r="G53" s="2">
        <f t="shared" si="59"/>
        <v>9.4493090987833206E-2</v>
      </c>
      <c r="H53" s="2">
        <f t="shared" si="59"/>
        <v>0.14659148520483245</v>
      </c>
      <c r="I53" s="2">
        <f t="shared" ref="I53" si="60">IFERROR((I52/H52)-1,"N/A")</f>
        <v>0.11610551517373757</v>
      </c>
      <c r="J53" s="2">
        <f t="shared" ref="J53:K53" si="61">IFERROR((J52/I52)-1,"N/A")</f>
        <v>7.1251884203609839E-2</v>
      </c>
      <c r="K53" s="2">
        <f t="shared" si="61"/>
        <v>1.7570761098984367E-2</v>
      </c>
      <c r="L53" s="2">
        <f t="shared" ref="L53" si="62">IFERROR((L52/K52)-1,"N/A")</f>
        <v>-0.66579502544010494</v>
      </c>
      <c r="M53" s="2">
        <f t="shared" ref="M53" si="63">IFERROR((M52/L52)-1,"N/A")</f>
        <v>-0.32824974139988861</v>
      </c>
    </row>
    <row r="54" spans="1:13" x14ac:dyDescent="0.3">
      <c r="A54" s="85" t="s">
        <v>45</v>
      </c>
      <c r="B54" s="2">
        <f>IFERROR(B50/B52,"")</f>
        <v>0.81698059720297345</v>
      </c>
      <c r="C54" s="2">
        <f t="shared" ref="C54:H54" si="64">IFERROR(C50/C52,"")</f>
        <v>0.81587421005115857</v>
      </c>
      <c r="D54" s="2">
        <f t="shared" si="64"/>
        <v>0.82721610251378797</v>
      </c>
      <c r="E54" s="2">
        <f t="shared" si="64"/>
        <v>0.82818310413719687</v>
      </c>
      <c r="F54" s="2">
        <f t="shared" si="64"/>
        <v>0.83389949789549189</v>
      </c>
      <c r="G54" s="2">
        <f t="shared" si="64"/>
        <v>0.83521905256519646</v>
      </c>
      <c r="H54" s="2">
        <f t="shared" si="64"/>
        <v>0.82480641891163209</v>
      </c>
      <c r="I54" s="2">
        <f t="shared" ref="I54:J54" si="65">IFERROR(I50/I52,"")</f>
        <v>0.82264329610018161</v>
      </c>
      <c r="J54" s="2">
        <f t="shared" si="65"/>
        <v>0.83307776955964863</v>
      </c>
      <c r="K54" s="2">
        <f t="shared" ref="K54" si="66">IFERROR(K50/K52,"")</f>
        <v>0.83423156700409529</v>
      </c>
      <c r="L54" s="2">
        <f t="shared" ref="L54:M54" si="67">IFERROR(L50/L52,"")</f>
        <v>0.61637005012863699</v>
      </c>
      <c r="M54" s="2">
        <f t="shared" si="67"/>
        <v>0.54743949145181037</v>
      </c>
    </row>
    <row r="55" spans="1:13" x14ac:dyDescent="0.3">
      <c r="A55" s="85" t="s">
        <v>46</v>
      </c>
      <c r="B55" s="12">
        <f>'Annual Operational Data'!B27</f>
        <v>0</v>
      </c>
      <c r="C55" s="12">
        <f>'Annual Operational Data'!C27</f>
        <v>33900</v>
      </c>
      <c r="D55" s="12">
        <f>'Annual Operational Data'!D27</f>
        <v>34900</v>
      </c>
      <c r="E55" s="12">
        <f>'Annual Operational Data'!E27</f>
        <v>35761</v>
      </c>
      <c r="F55" s="12">
        <f>'Annual Operational Data'!F27</f>
        <v>38526</v>
      </c>
      <c r="G55" s="12">
        <f>'Annual Operational Data'!G27</f>
        <v>41126</v>
      </c>
      <c r="H55" s="12">
        <f>'Annual Operational Data'!H27</f>
        <v>44849</v>
      </c>
      <c r="I55" s="12">
        <f>'Annual Operational Data'!I27</f>
        <v>48126</v>
      </c>
      <c r="J55" s="12">
        <f>'Annual Operational Data'!J27</f>
        <v>50904</v>
      </c>
      <c r="K55" s="12">
        <f>'Annual Operational Data'!K27</f>
        <v>51543</v>
      </c>
      <c r="L55" s="12">
        <f>'Annual Operational Data'!L27</f>
        <v>13760</v>
      </c>
      <c r="M55" s="12">
        <f>'Annual Operational Data'!M27</f>
        <v>8981</v>
      </c>
    </row>
    <row r="56" spans="1:13" x14ac:dyDescent="0.3">
      <c r="A56" s="8" t="s">
        <v>10</v>
      </c>
      <c r="B56" s="10"/>
      <c r="C56" s="10"/>
      <c r="D56" s="10"/>
      <c r="E56" s="10"/>
      <c r="F56" s="10"/>
      <c r="G56" s="10"/>
      <c r="H56" s="10"/>
      <c r="I56" s="10"/>
      <c r="J56" s="10"/>
      <c r="K56" s="10"/>
      <c r="L56" s="10"/>
      <c r="M56" s="10"/>
    </row>
    <row r="57" spans="1:13" x14ac:dyDescent="0.3">
      <c r="A57" s="85" t="s">
        <v>461</v>
      </c>
      <c r="B57" s="5" t="str">
        <f>IFERROR(B8*1000/B55, "N/A")</f>
        <v>N/A</v>
      </c>
      <c r="C57" s="5">
        <f t="shared" ref="C57:J57" si="68">IFERROR(C8*1000/C55, "N/A")</f>
        <v>304.52245982909335</v>
      </c>
      <c r="D57" s="5">
        <f t="shared" si="68"/>
        <v>307.76122384000934</v>
      </c>
      <c r="E57" s="5">
        <f t="shared" si="68"/>
        <v>299.26674515288477</v>
      </c>
      <c r="F57" s="5">
        <f t="shared" si="68"/>
        <v>294.4080806568</v>
      </c>
      <c r="G57" s="5">
        <f t="shared" si="68"/>
        <v>236.37417373813662</v>
      </c>
      <c r="H57" s="5">
        <f t="shared" si="68"/>
        <v>221.21389142290141</v>
      </c>
      <c r="I57" s="5">
        <f t="shared" si="68"/>
        <v>231.63329024395517</v>
      </c>
      <c r="J57" s="5">
        <f t="shared" si="68"/>
        <v>244.97515401980485</v>
      </c>
      <c r="K57" s="5">
        <f t="shared" ref="K57" si="69">IFERROR(K8*1000/K55, "N/A")</f>
        <v>251.95779519190395</v>
      </c>
      <c r="L57" s="5">
        <f t="shared" ref="L57:M57" si="70">IFERROR(L8*1000/L55, "N/A")</f>
        <v>242.07312707656979</v>
      </c>
      <c r="M57" s="5">
        <f t="shared" si="70"/>
        <v>251.39918824814089</v>
      </c>
    </row>
    <row r="58" spans="1:13" x14ac:dyDescent="0.3">
      <c r="A58" s="85" t="s">
        <v>0</v>
      </c>
      <c r="B58" s="40"/>
      <c r="C58" s="2" t="str">
        <f t="shared" ref="C58:K58" si="71">IFERROR((C57/B57)-1,"N/A")</f>
        <v>N/A</v>
      </c>
      <c r="D58" s="2">
        <f t="shared" si="71"/>
        <v>1.0635550536185923E-2</v>
      </c>
      <c r="E58" s="2">
        <f t="shared" si="71"/>
        <v>-2.7600873759003663E-2</v>
      </c>
      <c r="F58" s="2">
        <f t="shared" si="71"/>
        <v>-1.6235230191054661E-2</v>
      </c>
      <c r="G58" s="2">
        <f t="shared" si="71"/>
        <v>-0.19712063197856033</v>
      </c>
      <c r="H58" s="2">
        <f t="shared" si="71"/>
        <v>-6.4136796653725292E-2</v>
      </c>
      <c r="I58" s="2">
        <f t="shared" si="71"/>
        <v>4.7101015013269132E-2</v>
      </c>
      <c r="J58" s="2">
        <f t="shared" si="71"/>
        <v>5.7599077238846386E-2</v>
      </c>
      <c r="K58" s="2">
        <f t="shared" si="71"/>
        <v>2.8503466810901879E-2</v>
      </c>
      <c r="L58" s="2">
        <f t="shared" ref="L58" si="72">IFERROR((L57/K57)-1,"N/A")</f>
        <v>-3.9231443932129517E-2</v>
      </c>
      <c r="M58" s="2">
        <f t="shared" ref="M58" si="73">IFERROR((M57/L57)-1,"N/A")</f>
        <v>3.8525801208083577E-2</v>
      </c>
    </row>
    <row r="59" spans="1:13" x14ac:dyDescent="0.3">
      <c r="A59" s="85" t="s">
        <v>616</v>
      </c>
      <c r="B59" s="5" t="str">
        <f>IFERROR(B9*1000/B55, "N/A")</f>
        <v>N/A</v>
      </c>
      <c r="C59" s="5">
        <f t="shared" ref="C59:J59" si="74">IFERROR(C9*1000/C55, "N/A")</f>
        <v>0</v>
      </c>
      <c r="D59" s="5">
        <f t="shared" si="74"/>
        <v>0</v>
      </c>
      <c r="E59" s="5">
        <f t="shared" si="74"/>
        <v>0</v>
      </c>
      <c r="F59" s="5">
        <f t="shared" si="74"/>
        <v>0</v>
      </c>
      <c r="G59" s="5">
        <f t="shared" si="74"/>
        <v>0</v>
      </c>
      <c r="H59" s="5">
        <f t="shared" si="74"/>
        <v>0</v>
      </c>
      <c r="I59" s="5">
        <f t="shared" si="74"/>
        <v>0</v>
      </c>
      <c r="J59" s="5">
        <f t="shared" si="74"/>
        <v>0</v>
      </c>
      <c r="K59" s="5">
        <f t="shared" ref="K59" si="75">IFERROR(K9*1000/K55, "N/A")</f>
        <v>0</v>
      </c>
      <c r="L59" s="5">
        <f t="shared" ref="L59:M59" si="76">IFERROR(L9*1000/L55, "N/A")</f>
        <v>0</v>
      </c>
      <c r="M59" s="5">
        <f t="shared" si="76"/>
        <v>0</v>
      </c>
    </row>
    <row r="60" spans="1:13" x14ac:dyDescent="0.3">
      <c r="A60" s="85" t="s">
        <v>0</v>
      </c>
      <c r="B60" s="40"/>
      <c r="C60" s="2" t="str">
        <f t="shared" ref="C60:K60" si="77">IFERROR((C59/B59)-1,"N/A")</f>
        <v>N/A</v>
      </c>
      <c r="D60" s="2" t="str">
        <f t="shared" si="77"/>
        <v>N/A</v>
      </c>
      <c r="E60" s="2" t="str">
        <f t="shared" si="77"/>
        <v>N/A</v>
      </c>
      <c r="F60" s="2" t="str">
        <f t="shared" si="77"/>
        <v>N/A</v>
      </c>
      <c r="G60" s="2" t="str">
        <f t="shared" si="77"/>
        <v>N/A</v>
      </c>
      <c r="H60" s="2" t="str">
        <f t="shared" si="77"/>
        <v>N/A</v>
      </c>
      <c r="I60" s="2" t="str">
        <f t="shared" si="77"/>
        <v>N/A</v>
      </c>
      <c r="J60" s="2" t="str">
        <f t="shared" si="77"/>
        <v>N/A</v>
      </c>
      <c r="K60" s="2" t="str">
        <f t="shared" si="77"/>
        <v>N/A</v>
      </c>
      <c r="L60" s="2" t="str">
        <f t="shared" ref="L60" si="78">IFERROR((L59/K59)-1,"N/A")</f>
        <v>N/A</v>
      </c>
      <c r="M60" s="2" t="str">
        <f t="shared" ref="M60" si="79">IFERROR((M59/L59)-1,"N/A")</f>
        <v>N/A</v>
      </c>
    </row>
    <row r="61" spans="1:13" x14ac:dyDescent="0.3">
      <c r="A61" s="85" t="s">
        <v>617</v>
      </c>
      <c r="B61" s="5" t="str">
        <f>IFERROR((B8+B9)*1000/B55, "N/A")</f>
        <v>N/A</v>
      </c>
      <c r="C61" s="5">
        <f t="shared" ref="C61:J61" si="80">IFERROR((C8+C9)*1000/C55, "N/A")</f>
        <v>304.52245982909335</v>
      </c>
      <c r="D61" s="5">
        <f t="shared" si="80"/>
        <v>307.76122384000934</v>
      </c>
      <c r="E61" s="5">
        <f t="shared" si="80"/>
        <v>299.26674515288477</v>
      </c>
      <c r="F61" s="5">
        <f t="shared" si="80"/>
        <v>294.4080806568</v>
      </c>
      <c r="G61" s="5">
        <f t="shared" si="80"/>
        <v>236.37417373813662</v>
      </c>
      <c r="H61" s="5">
        <f t="shared" si="80"/>
        <v>221.21389142290141</v>
      </c>
      <c r="I61" s="5">
        <f t="shared" si="80"/>
        <v>231.63329024395517</v>
      </c>
      <c r="J61" s="5">
        <f t="shared" si="80"/>
        <v>244.97515401980485</v>
      </c>
      <c r="K61" s="5">
        <f t="shared" ref="K61" si="81">IFERROR((K8+K9)*1000/K55, "N/A")</f>
        <v>251.95779519190395</v>
      </c>
      <c r="L61" s="5">
        <f t="shared" ref="L61:M61" si="82">IFERROR((L8+L9)*1000/L55, "N/A")</f>
        <v>242.07312707656979</v>
      </c>
      <c r="M61" s="5">
        <f t="shared" si="82"/>
        <v>251.39918824814089</v>
      </c>
    </row>
    <row r="62" spans="1:13" x14ac:dyDescent="0.3">
      <c r="A62" s="85" t="s">
        <v>0</v>
      </c>
      <c r="B62" s="40"/>
      <c r="C62" s="2" t="str">
        <f t="shared" ref="C62:K62" si="83">IFERROR((C61/B61)-1,"N/A")</f>
        <v>N/A</v>
      </c>
      <c r="D62" s="2">
        <f t="shared" si="83"/>
        <v>1.0635550536185923E-2</v>
      </c>
      <c r="E62" s="2">
        <f t="shared" si="83"/>
        <v>-2.7600873759003663E-2</v>
      </c>
      <c r="F62" s="2">
        <f t="shared" si="83"/>
        <v>-1.6235230191054661E-2</v>
      </c>
      <c r="G62" s="2">
        <f t="shared" si="83"/>
        <v>-0.19712063197856033</v>
      </c>
      <c r="H62" s="2">
        <f t="shared" si="83"/>
        <v>-6.4136796653725292E-2</v>
      </c>
      <c r="I62" s="2">
        <f t="shared" si="83"/>
        <v>4.7101015013269132E-2</v>
      </c>
      <c r="J62" s="2">
        <f t="shared" si="83"/>
        <v>5.7599077238846386E-2</v>
      </c>
      <c r="K62" s="2">
        <f t="shared" si="83"/>
        <v>2.8503466810901879E-2</v>
      </c>
      <c r="L62" s="2">
        <f t="shared" ref="L62" si="84">IFERROR((L61/K61)-1,"N/A")</f>
        <v>-3.9231443932129517E-2</v>
      </c>
      <c r="M62" s="2">
        <f t="shared" ref="M62" si="85">IFERROR((M61/L61)-1,"N/A")</f>
        <v>3.8525801208083577E-2</v>
      </c>
    </row>
    <row r="63" spans="1:13" x14ac:dyDescent="0.3">
      <c r="A63" s="85" t="str">
        <f>IF(Inputs!$E$10 = "miles", "Total Yield Total Revenue/RPM [cents]", "Total Yield {Total Revenue/RPK} [cents]")</f>
        <v>Total Yield Total Revenue/RPM [cents]</v>
      </c>
      <c r="B63" s="5">
        <f t="shared" ref="B63:J63" si="86">IFERROR(B13*100/B50, "N/A")</f>
        <v>20.182965430286167</v>
      </c>
      <c r="C63" s="5">
        <f t="shared" si="86"/>
        <v>21.657177254220446</v>
      </c>
      <c r="D63" s="5">
        <f t="shared" si="86"/>
        <v>21.788385097433196</v>
      </c>
      <c r="E63" s="5">
        <f t="shared" si="86"/>
        <v>21.171829904649922</v>
      </c>
      <c r="F63" s="5">
        <f t="shared" si="86"/>
        <v>20.697472640224252</v>
      </c>
      <c r="G63" s="5">
        <f t="shared" si="86"/>
        <v>16.069987022981408</v>
      </c>
      <c r="H63" s="5">
        <f t="shared" si="86"/>
        <v>14.480688143264365</v>
      </c>
      <c r="I63" s="5">
        <f t="shared" si="86"/>
        <v>14.705191017912533</v>
      </c>
      <c r="J63" s="5">
        <f t="shared" si="86"/>
        <v>15.040652471544606</v>
      </c>
      <c r="K63" s="5">
        <f t="shared" ref="K63" si="87">IFERROR(K13*100/K50, "N/A")</f>
        <v>15.319685869132565</v>
      </c>
      <c r="L63" s="5">
        <f t="shared" ref="L63:M63" si="88">IFERROR(L13*100/L50, "N/A")</f>
        <v>19.079508444546118</v>
      </c>
      <c r="M63" s="5">
        <f t="shared" si="88"/>
        <v>24.970718000894081</v>
      </c>
    </row>
    <row r="64" spans="1:13" x14ac:dyDescent="0.3">
      <c r="A64" s="85" t="s">
        <v>0</v>
      </c>
      <c r="B64" s="40"/>
      <c r="C64" s="2">
        <f>IFERROR((C63/B63)-1,"N/A")</f>
        <v>7.3042379675392288E-2</v>
      </c>
      <c r="D64" s="2">
        <f t="shared" ref="D64:H64" si="89">IFERROR((D63/C63)-1,"N/A")</f>
        <v>6.05840002473923E-3</v>
      </c>
      <c r="E64" s="2">
        <f t="shared" si="89"/>
        <v>-2.8297424982446584E-2</v>
      </c>
      <c r="F64" s="2">
        <f t="shared" si="89"/>
        <v>-2.240511408612289E-2</v>
      </c>
      <c r="G64" s="2">
        <f t="shared" si="89"/>
        <v>-0.22357732741965863</v>
      </c>
      <c r="H64" s="2">
        <f t="shared" si="89"/>
        <v>-9.8898578912616109E-2</v>
      </c>
      <c r="I64" s="2">
        <f t="shared" ref="I64" si="90">IFERROR((I63/H63)-1,"N/A")</f>
        <v>1.5503605383049068E-2</v>
      </c>
      <c r="J64" s="2">
        <f t="shared" ref="J64:K64" si="91">IFERROR((J63/I63)-1,"N/A")</f>
        <v>2.2812451278153789E-2</v>
      </c>
      <c r="K64" s="2">
        <f t="shared" si="91"/>
        <v>1.8551947670878199E-2</v>
      </c>
      <c r="L64" s="2">
        <f t="shared" ref="L64" si="92">IFERROR((L63/K63)-1,"N/A")</f>
        <v>0.2454242604927801</v>
      </c>
      <c r="M64" s="2">
        <f t="shared" ref="M64" si="93">IFERROR((M63/L63)-1,"N/A")</f>
        <v>0.30877155842198678</v>
      </c>
    </row>
    <row r="65" spans="1:13" x14ac:dyDescent="0.3">
      <c r="A65" s="85" t="str">
        <f>IF(Inputs!$E$10 = "miles", "Total Revenue per ASM ('RASM') [cents]","Total Revenue per ASK ('RASK') [cents]")</f>
        <v>Total Revenue per ASM ('RASM') [cents]</v>
      </c>
      <c r="B65" s="5">
        <f t="shared" ref="B65:J65" si="94">IFERROR(B13*100/B52, "N/A")</f>
        <v>16.48909115056216</v>
      </c>
      <c r="C65" s="5">
        <f t="shared" si="94"/>
        <v>17.669532384225025</v>
      </c>
      <c r="D65" s="5">
        <f t="shared" si="94"/>
        <v>18.023703000368187</v>
      </c>
      <c r="E65" s="5">
        <f t="shared" si="94"/>
        <v>17.534151810697704</v>
      </c>
      <c r="F65" s="5">
        <f t="shared" si="94"/>
        <v>17.259612042388685</v>
      </c>
      <c r="G65" s="5">
        <f t="shared" si="94"/>
        <v>13.421959336069534</v>
      </c>
      <c r="H65" s="5">
        <f t="shared" si="94"/>
        <v>11.943764530822012</v>
      </c>
      <c r="I65" s="5">
        <f t="shared" si="94"/>
        <v>12.097126808758352</v>
      </c>
      <c r="J65" s="5">
        <f t="shared" si="94"/>
        <v>12.530033213716196</v>
      </c>
      <c r="K65" s="5">
        <f t="shared" ref="K65" si="95">IFERROR(K13*100/K52, "N/A")</f>
        <v>12.780165548616955</v>
      </c>
      <c r="L65" s="5">
        <f t="shared" ref="L65:M65" si="96">IFERROR(L13*100/L52, "N/A")</f>
        <v>11.760037576394643</v>
      </c>
      <c r="M65" s="5">
        <f t="shared" si="96"/>
        <v>13.669957163596022</v>
      </c>
    </row>
    <row r="66" spans="1:13" x14ac:dyDescent="0.3">
      <c r="A66" s="85" t="s">
        <v>0</v>
      </c>
      <c r="B66" s="40"/>
      <c r="C66" s="2">
        <f>IFERROR((C65/B65)-1,"N/A")</f>
        <v>7.1589223619679121E-2</v>
      </c>
      <c r="D66" s="2">
        <f t="shared" ref="D66:H66" si="97">IFERROR((D65/C65)-1,"N/A")</f>
        <v>2.0044141997745069E-2</v>
      </c>
      <c r="E66" s="2">
        <f t="shared" si="97"/>
        <v>-2.7161521118078902E-2</v>
      </c>
      <c r="F66" s="2">
        <f t="shared" si="97"/>
        <v>-1.5657430782680892E-2</v>
      </c>
      <c r="G66" s="2">
        <f t="shared" si="97"/>
        <v>-0.22234872353411428</v>
      </c>
      <c r="H66" s="2">
        <f t="shared" si="97"/>
        <v>-0.11013256471989841</v>
      </c>
      <c r="I66" s="2">
        <f t="shared" ref="I66" si="98">IFERROR((I65/H65)-1,"N/A")</f>
        <v>1.2840363483437311E-2</v>
      </c>
      <c r="J66" s="2">
        <f t="shared" ref="J66:K66" si="99">IFERROR((J65/I65)-1,"N/A")</f>
        <v>3.5785886334961603E-2</v>
      </c>
      <c r="K66" s="2">
        <f t="shared" si="99"/>
        <v>1.996262345314026E-2</v>
      </c>
      <c r="L66" s="2">
        <f t="shared" ref="L66" si="100">IFERROR((L65/K65)-1,"N/A")</f>
        <v>-7.9821186066929228E-2</v>
      </c>
      <c r="M66" s="2">
        <f t="shared" ref="M66" si="101">IFERROR((M65/L65)-1,"N/A")</f>
        <v>0.16240760922695263</v>
      </c>
    </row>
    <row r="67" spans="1:13" x14ac:dyDescent="0.3">
      <c r="A67" s="85" t="str">
        <f>IF(Inputs!$E$10 = "miles","Passenger Yield per RPM (Pass Revenue/RPM) [cents]","Passenger Yield per RPK (Pass Revenue/RPK) [cents]")</f>
        <v>Passenger Yield per RPM (Pass Revenue/RPM) [cents]</v>
      </c>
      <c r="B67" s="5">
        <f>IFERROR(B8*100/'Annual Operational Data'!B31,"N/A")</f>
        <v>17.639979149945084</v>
      </c>
      <c r="C67" s="5">
        <f>IFERROR(C8*100/'Annual Operational Data'!C31,"N/A")</f>
        <v>19.038620858687761</v>
      </c>
      <c r="D67" s="5">
        <f>IFERROR(D8*100/'Annual Operational Data'!D31,"N/A")</f>
        <v>19.302136203889454</v>
      </c>
      <c r="E67" s="5">
        <f>IFERROR(E8*100/'Annual Operational Data'!E31,"N/A")</f>
        <v>18.844672700625651</v>
      </c>
      <c r="F67" s="5">
        <f>IFERROR(F8*100/'Annual Operational Data'!F31,"N/A")</f>
        <v>18.408150018475517</v>
      </c>
      <c r="G67" s="5">
        <f>IFERROR(G8*100/'Annual Operational Data'!G31,"N/A")</f>
        <v>14.392070870019404</v>
      </c>
      <c r="H67" s="5">
        <f>IFERROR(H8*100/'Annual Operational Data'!H31,"N/A")</f>
        <v>12.972139245597866</v>
      </c>
      <c r="I67" s="5">
        <f>IFERROR(I8*100/'Annual Operational Data'!I31,"N/A")</f>
        <v>13.09370041965372</v>
      </c>
      <c r="J67" s="5">
        <f>IFERROR(J8*100/'Annual Operational Data'!J31,"N/A")</f>
        <v>13.501748852559706</v>
      </c>
      <c r="K67" s="5">
        <f>IFERROR(K8*100/'Annual Operational Data'!K31,"N/A")</f>
        <v>13.799008253457339</v>
      </c>
      <c r="L67" s="5">
        <f>IFERROR(L8*100/'Annual Operational Data'!L31,"N/A")</f>
        <v>14.333345791874008</v>
      </c>
      <c r="M67" s="5">
        <f>IFERROR(M8*100/'Annual Operational Data'!M31,"N/A")</f>
        <v>16.284284959657796</v>
      </c>
    </row>
    <row r="68" spans="1:13" x14ac:dyDescent="0.3">
      <c r="A68" s="85" t="s">
        <v>0</v>
      </c>
      <c r="B68" s="40"/>
      <c r="C68" s="2">
        <f>IFERROR((C67/B67)-1,"N/A")</f>
        <v>7.9288172443618299E-2</v>
      </c>
      <c r="D68" s="2">
        <f t="shared" ref="D68:H68" si="102">IFERROR((D67/C67)-1,"N/A")</f>
        <v>1.3841094224083195E-2</v>
      </c>
      <c r="E68" s="2">
        <f t="shared" si="102"/>
        <v>-2.3700148959244327E-2</v>
      </c>
      <c r="F68" s="2">
        <f t="shared" si="102"/>
        <v>-2.3164248543071864E-2</v>
      </c>
      <c r="G68" s="2">
        <f t="shared" si="102"/>
        <v>-0.21816853645941259</v>
      </c>
      <c r="H68" s="2">
        <f t="shared" si="102"/>
        <v>-9.8660688739342195E-2</v>
      </c>
      <c r="I68" s="2">
        <f t="shared" ref="I68" si="103">IFERROR((I67/H67)-1,"N/A")</f>
        <v>9.3709427376911236E-3</v>
      </c>
      <c r="J68" s="2">
        <f t="shared" ref="J68:K68" si="104">IFERROR((J67/I67)-1,"N/A")</f>
        <v>3.1163721471243022E-2</v>
      </c>
      <c r="K68" s="2">
        <f t="shared" si="104"/>
        <v>2.2016362779646803E-2</v>
      </c>
      <c r="L68" s="2">
        <f t="shared" ref="L68" si="105">IFERROR((L67/K67)-1,"N/A")</f>
        <v>3.8722894327046342E-2</v>
      </c>
      <c r="M68" s="2">
        <f t="shared" ref="M68" si="106">IFERROR((M67/L67)-1,"N/A")</f>
        <v>0.13611191665311195</v>
      </c>
    </row>
    <row r="69" spans="1:13" x14ac:dyDescent="0.3">
      <c r="A69" s="85" t="str">
        <f>IF(Inputs!$E$10 = "miles","Passenger Revenue per ASM ('PRASM') [cents]", "Passenger Revenue per ASK ('PRASK') [cents]")</f>
        <v>Passenger Revenue per ASM ('PRASM') [cents]</v>
      </c>
      <c r="B69" s="5">
        <f t="shared" ref="B69:J69" si="107">IFERROR(B8*100/B52, "N/A")</f>
        <v>14.411520700570135</v>
      </c>
      <c r="C69" s="5">
        <f t="shared" si="107"/>
        <v>15.533119753545387</v>
      </c>
      <c r="D69" s="5">
        <f t="shared" si="107"/>
        <v>15.967037880771716</v>
      </c>
      <c r="E69" s="5">
        <f t="shared" si="107"/>
        <v>15.606839533653643</v>
      </c>
      <c r="F69" s="5">
        <f t="shared" si="107"/>
        <v>15.350547057591625</v>
      </c>
      <c r="G69" s="5">
        <f t="shared" si="107"/>
        <v>12.02053179650877</v>
      </c>
      <c r="H69" s="5">
        <f t="shared" si="107"/>
        <v>10.699503716784617</v>
      </c>
      <c r="I69" s="5">
        <f t="shared" si="107"/>
        <v>10.771444871372267</v>
      </c>
      <c r="J69" s="5">
        <f t="shared" si="107"/>
        <v>11.248006819244983</v>
      </c>
      <c r="K69" s="5">
        <f t="shared" ref="K69" si="108">IFERROR(K8*100/K52, "N/A")</f>
        <v>11.511568278384159</v>
      </c>
      <c r="L69" s="5">
        <f t="shared" ref="L69:M69" si="109">IFERROR(L8*100/L52, "N/A")</f>
        <v>8.8346450642484697</v>
      </c>
      <c r="M69" s="5">
        <f t="shared" si="109"/>
        <v>8.9146606769714278</v>
      </c>
    </row>
    <row r="70" spans="1:13" x14ac:dyDescent="0.3">
      <c r="A70" s="85" t="s">
        <v>0</v>
      </c>
      <c r="B70" s="40"/>
      <c r="C70" s="2">
        <f>IFERROR((C69/B69)-1,"N/A")</f>
        <v>7.7826558090492215E-2</v>
      </c>
      <c r="D70" s="2">
        <f t="shared" ref="D70:H70" si="110">IFERROR((D69/C69)-1,"N/A")</f>
        <v>2.7935027483921182E-2</v>
      </c>
      <c r="E70" s="2">
        <f t="shared" si="110"/>
        <v>-2.2558870957013366E-2</v>
      </c>
      <c r="F70" s="2">
        <f t="shared" si="110"/>
        <v>-1.6421805036783033E-2</v>
      </c>
      <c r="G70" s="2">
        <f t="shared" si="110"/>
        <v>-0.21693137375426585</v>
      </c>
      <c r="H70" s="2">
        <f t="shared" si="110"/>
        <v>-0.10989764031137383</v>
      </c>
      <c r="I70" s="2">
        <f t="shared" ref="I70" si="111">IFERROR((I69/H69)-1,"N/A")</f>
        <v>6.7237842513008239E-3</v>
      </c>
      <c r="J70" s="2">
        <f t="shared" ref="J70:K70" si="112">IFERROR((J69/I69)-1,"N/A")</f>
        <v>4.4243084708096569E-2</v>
      </c>
      <c r="K70" s="2">
        <f t="shared" si="112"/>
        <v>2.3431836713348142E-2</v>
      </c>
      <c r="L70" s="2">
        <f t="shared" ref="L70" si="113">IFERROR((L69/K69)-1,"N/A")</f>
        <v>-0.23254200899475008</v>
      </c>
      <c r="M70" s="2">
        <f t="shared" ref="M70" si="114">IFERROR((M69/L69)-1,"N/A")</f>
        <v>9.0570263028177944E-3</v>
      </c>
    </row>
    <row r="71" spans="1:13" x14ac:dyDescent="0.3">
      <c r="A71" s="85" t="str">
        <f>IF(Inputs!$E$10 = "miles","Cargo Yield per RFTM (Cargo Revenue/RFTM) [cents]", "Cargo Yield per RFTK (Cargo Revenue/RFTK) [cents]")</f>
        <v>Cargo Yield per RFTM (Cargo Revenue/RFTM) [cents]</v>
      </c>
      <c r="B71" s="5" t="str">
        <f>IFERROR(B10*100/'Annual Operational Data'!B37, "N/A")</f>
        <v>N/A</v>
      </c>
      <c r="C71" s="5" t="str">
        <f>IFERROR(C10*100/'Annual Operational Data'!C37, "N/A")</f>
        <v>N/A</v>
      </c>
      <c r="D71" s="5" t="str">
        <f>IFERROR(D10*100/'Annual Operational Data'!D37, "N/A")</f>
        <v>N/A</v>
      </c>
      <c r="E71" s="5" t="str">
        <f>IFERROR(E10*100/'Annual Operational Data'!E37, "N/A")</f>
        <v>N/A</v>
      </c>
      <c r="F71" s="5" t="str">
        <f>IFERROR(F10*100/'Annual Operational Data'!F37, "N/A")</f>
        <v>N/A</v>
      </c>
      <c r="G71" s="5" t="str">
        <f>IFERROR(G10*100/'Annual Operational Data'!G37, "N/A")</f>
        <v>N/A</v>
      </c>
      <c r="H71" s="5" t="str">
        <f>IFERROR(H10*100/'Annual Operational Data'!H37, "N/A")</f>
        <v>N/A</v>
      </c>
      <c r="I71" s="5" t="str">
        <f>IFERROR(I10*100/'Annual Operational Data'!I37, "N/A")</f>
        <v>N/A</v>
      </c>
      <c r="J71" s="5" t="str">
        <f>IFERROR(J10*100/'Annual Operational Data'!J37, "N/A")</f>
        <v>N/A</v>
      </c>
      <c r="K71" s="5" t="str">
        <f>IFERROR(K10*100/'Annual Operational Data'!K37, "N/A")</f>
        <v>N/A</v>
      </c>
      <c r="L71" s="5" t="str">
        <f>IFERROR(L10*100/'Annual Operational Data'!L37, "N/A")</f>
        <v>N/A</v>
      </c>
      <c r="M71" s="5" t="str">
        <f>IFERROR(M10*100/'Annual Operational Data'!M37, "N/A")</f>
        <v>N/A</v>
      </c>
    </row>
    <row r="72" spans="1:13" x14ac:dyDescent="0.3">
      <c r="A72" s="85" t="s">
        <v>0</v>
      </c>
      <c r="B72" s="40"/>
      <c r="C72" s="2" t="str">
        <f>IFERROR((C71/B71)-1,"N/A")</f>
        <v>N/A</v>
      </c>
      <c r="D72" s="2" t="str">
        <f t="shared" ref="D72:H72" si="115">IFERROR((D71/C71)-1,"N/A")</f>
        <v>N/A</v>
      </c>
      <c r="E72" s="2" t="str">
        <f t="shared" si="115"/>
        <v>N/A</v>
      </c>
      <c r="F72" s="2" t="str">
        <f t="shared" si="115"/>
        <v>N/A</v>
      </c>
      <c r="G72" s="2" t="str">
        <f t="shared" si="115"/>
        <v>N/A</v>
      </c>
      <c r="H72" s="2" t="str">
        <f t="shared" si="115"/>
        <v>N/A</v>
      </c>
      <c r="I72" s="2" t="str">
        <f t="shared" ref="I72" si="116">IFERROR((I71/H71)-1,"N/A")</f>
        <v>N/A</v>
      </c>
      <c r="J72" s="2" t="str">
        <f t="shared" ref="J72:K72" si="117">IFERROR((J71/I71)-1,"N/A")</f>
        <v>N/A</v>
      </c>
      <c r="K72" s="2" t="str">
        <f t="shared" si="117"/>
        <v>N/A</v>
      </c>
      <c r="L72" s="2" t="str">
        <f t="shared" ref="L72" si="118">IFERROR((L71/K71)-1,"N/A")</f>
        <v>N/A</v>
      </c>
      <c r="M72" s="2" t="str">
        <f t="shared" ref="M72" si="119">IFERROR((M71/L71)-1,"N/A")</f>
        <v>N/A</v>
      </c>
    </row>
    <row r="73" spans="1:13" x14ac:dyDescent="0.3">
      <c r="A73" s="8" t="s">
        <v>6</v>
      </c>
      <c r="B73" s="10"/>
      <c r="C73" s="10"/>
      <c r="D73" s="10"/>
      <c r="E73" s="10"/>
      <c r="F73" s="10"/>
      <c r="G73" s="10"/>
      <c r="H73" s="10"/>
      <c r="I73" s="10"/>
      <c r="J73" s="10"/>
      <c r="K73" s="10"/>
      <c r="L73" s="10"/>
      <c r="M73" s="10"/>
    </row>
    <row r="74" spans="1:13" x14ac:dyDescent="0.3">
      <c r="A74" s="85" t="s">
        <v>47</v>
      </c>
      <c r="B74" s="34"/>
      <c r="C74" s="34"/>
      <c r="D74" s="34"/>
      <c r="E74" s="34"/>
      <c r="F74" s="34"/>
      <c r="G74" s="34"/>
      <c r="H74" s="41"/>
      <c r="I74" s="41"/>
      <c r="J74" s="41"/>
      <c r="K74" s="41"/>
      <c r="L74" s="41"/>
      <c r="M74" s="41"/>
    </row>
    <row r="75" spans="1:13" x14ac:dyDescent="0.3">
      <c r="A75" s="85" t="s">
        <v>462</v>
      </c>
      <c r="B75" s="5">
        <f t="shared" ref="B75:J75" si="120">IFERROR(-B24*100/B52,"N/A")</f>
        <v>14.370244466464335</v>
      </c>
      <c r="C75" s="5">
        <f t="shared" si="120"/>
        <v>15.779628903239189</v>
      </c>
      <c r="D75" s="5">
        <f t="shared" si="120"/>
        <v>15.865914794631038</v>
      </c>
      <c r="E75" s="5">
        <f t="shared" si="120"/>
        <v>15.388760113620739</v>
      </c>
      <c r="F75" s="5">
        <f t="shared" si="120"/>
        <v>15.086555101247075</v>
      </c>
      <c r="G75" s="5">
        <f t="shared" si="120"/>
        <v>10.990753549207213</v>
      </c>
      <c r="H75" s="5">
        <f t="shared" si="120"/>
        <v>9.7351812415496166</v>
      </c>
      <c r="I75" s="5">
        <f t="shared" si="120"/>
        <v>9.9735049292735134</v>
      </c>
      <c r="J75" s="5">
        <f t="shared" si="120"/>
        <v>10.293794991438235</v>
      </c>
      <c r="K75" s="5">
        <f t="shared" ref="K75" si="121">IFERROR(-K24*100/K52,"N/A")</f>
        <v>10.351192576228096</v>
      </c>
      <c r="L75" s="5">
        <f t="shared" ref="L75:M75" si="122">IFERROR(-L24*100/L52,"N/A")</f>
        <v>15.018090160562952</v>
      </c>
      <c r="M75" s="5">
        <f t="shared" si="122"/>
        <v>19.431649517914177</v>
      </c>
    </row>
    <row r="76" spans="1:13" x14ac:dyDescent="0.3">
      <c r="A76" s="85" t="s">
        <v>0</v>
      </c>
      <c r="B76" s="40"/>
      <c r="C76" s="2">
        <f>IFERROR((C75/B75)-1,"N/A")</f>
        <v>9.8076580399443891E-2</v>
      </c>
      <c r="D76" s="2">
        <f t="shared" ref="D76:H76" si="123">IFERROR((D75/C75)-1,"N/A")</f>
        <v>5.4681825485856095E-3</v>
      </c>
      <c r="E76" s="2">
        <f t="shared" si="123"/>
        <v>-3.0074199136110757E-2</v>
      </c>
      <c r="F76" s="2">
        <f t="shared" si="123"/>
        <v>-1.9638035172578894E-2</v>
      </c>
      <c r="G76" s="2">
        <f t="shared" si="123"/>
        <v>-0.27148686526199062</v>
      </c>
      <c r="H76" s="2">
        <f t="shared" si="123"/>
        <v>-0.11423896478400819</v>
      </c>
      <c r="I76" s="2">
        <f t="shared" ref="I76" si="124">IFERROR((I75/H75)-1,"N/A")</f>
        <v>2.4480662641054307E-2</v>
      </c>
      <c r="J76" s="2">
        <f t="shared" ref="J76:K76" si="125">IFERROR((J75/I75)-1,"N/A")</f>
        <v>3.2114092732298039E-2</v>
      </c>
      <c r="K76" s="2">
        <f t="shared" si="125"/>
        <v>5.5759401501196404E-3</v>
      </c>
      <c r="L76" s="2">
        <f t="shared" ref="L76" si="126">IFERROR((L75/K75)-1,"N/A")</f>
        <v>0.45085602938665859</v>
      </c>
      <c r="M76" s="2">
        <f t="shared" ref="M76" si="127">IFERROR((M75/L75)-1,"N/A")</f>
        <v>0.29388286460958257</v>
      </c>
    </row>
    <row r="77" spans="1:13" x14ac:dyDescent="0.3">
      <c r="A77" s="85" t="s">
        <v>463</v>
      </c>
      <c r="B77" s="5">
        <f t="shared" ref="B77:J77" si="128">IFERROR(-B16*100/B52, "N/A")</f>
        <v>4.0542434388365338</v>
      </c>
      <c r="C77" s="5">
        <f t="shared" si="128"/>
        <v>5.1356072852875858</v>
      </c>
      <c r="D77" s="5">
        <f t="shared" si="128"/>
        <v>5.2955780845141174</v>
      </c>
      <c r="E77" s="5">
        <f t="shared" si="128"/>
        <v>5.0044978597161762</v>
      </c>
      <c r="F77" s="5">
        <f t="shared" si="128"/>
        <v>4.8727973419854145</v>
      </c>
      <c r="G77" s="5">
        <f t="shared" si="128"/>
        <v>2.3847496253299201</v>
      </c>
      <c r="H77" s="5">
        <f t="shared" si="128"/>
        <v>1.8545914945658766</v>
      </c>
      <c r="I77" s="5">
        <f t="shared" si="128"/>
        <v>2.1787035545924005</v>
      </c>
      <c r="J77" s="5">
        <f t="shared" si="128"/>
        <v>2.7624119216374816</v>
      </c>
      <c r="K77" s="5">
        <f t="shared" ref="K77" si="129">IFERROR(-K16*100/K52, "N/A")</f>
        <v>2.5799487401996064</v>
      </c>
      <c r="L77" s="5">
        <f t="shared" ref="L77:M77" si="130">IFERROR(-L16*100/L52, "N/A")</f>
        <v>2.6653128194743214</v>
      </c>
      <c r="M77" s="5">
        <f t="shared" si="130"/>
        <v>3.3384370475152205</v>
      </c>
    </row>
    <row r="78" spans="1:13" x14ac:dyDescent="0.3">
      <c r="A78" s="85" t="s">
        <v>0</v>
      </c>
      <c r="B78" s="40"/>
      <c r="C78" s="2">
        <f>IFERROR((C77/B77)-1,"N/A")</f>
        <v>0.26672395547154815</v>
      </c>
      <c r="D78" s="2">
        <f t="shared" ref="D78:H78" si="131">IFERROR((D77/C77)-1,"N/A")</f>
        <v>3.1149344243048604E-2</v>
      </c>
      <c r="E78" s="2">
        <f t="shared" si="131"/>
        <v>-5.4966657115140705E-2</v>
      </c>
      <c r="F78" s="2">
        <f t="shared" si="131"/>
        <v>-2.6316430024056592E-2</v>
      </c>
      <c r="G78" s="2">
        <f t="shared" si="131"/>
        <v>-0.51059946516095889</v>
      </c>
      <c r="H78" s="2">
        <f t="shared" si="131"/>
        <v>-0.22231186248355039</v>
      </c>
      <c r="I78" s="2">
        <f t="shared" ref="I78" si="132">IFERROR((I77/H77)-1,"N/A")</f>
        <v>0.17476196832359148</v>
      </c>
      <c r="J78" s="2">
        <f t="shared" ref="J78:K78" si="133">IFERROR((J77/I77)-1,"N/A")</f>
        <v>0.26791546092386276</v>
      </c>
      <c r="K78" s="2">
        <f t="shared" si="133"/>
        <v>-6.6052126407605494E-2</v>
      </c>
      <c r="L78" s="2">
        <f t="shared" ref="L78" si="134">IFERROR((L77/K77)-1,"N/A")</f>
        <v>3.3087509819327066E-2</v>
      </c>
      <c r="M78" s="2">
        <f t="shared" ref="M78" si="135">IFERROR((M77/L77)-1,"N/A")</f>
        <v>0.25254980320608644</v>
      </c>
    </row>
    <row r="79" spans="1:13" x14ac:dyDescent="0.3">
      <c r="A79" s="85" t="s">
        <v>464</v>
      </c>
      <c r="B79" s="5">
        <f t="shared" ref="B79:J79" si="136">IFERROR(-(B24-B16)*100/B52, "N/A")</f>
        <v>10.3160010276278</v>
      </c>
      <c r="C79" s="5">
        <f t="shared" si="136"/>
        <v>10.644021617951603</v>
      </c>
      <c r="D79" s="5">
        <f t="shared" si="136"/>
        <v>10.570336710116919</v>
      </c>
      <c r="E79" s="5">
        <f t="shared" si="136"/>
        <v>10.384262253904563</v>
      </c>
      <c r="F79" s="5">
        <f t="shared" si="136"/>
        <v>10.213757759261661</v>
      </c>
      <c r="G79" s="5">
        <f t="shared" si="136"/>
        <v>8.6060039238772923</v>
      </c>
      <c r="H79" s="5">
        <f t="shared" si="136"/>
        <v>7.8805897469837412</v>
      </c>
      <c r="I79" s="5">
        <f t="shared" si="136"/>
        <v>7.7948013746811116</v>
      </c>
      <c r="J79" s="5">
        <f t="shared" si="136"/>
        <v>7.5313830698007536</v>
      </c>
      <c r="K79" s="5">
        <f t="shared" ref="K79" si="137">IFERROR(-(K24-K16)*100/K52, "N/A")</f>
        <v>7.7712438360284892</v>
      </c>
      <c r="L79" s="5">
        <f t="shared" ref="L79:M79" si="138">IFERROR(-(L24-L16)*100/L52, "N/A")</f>
        <v>12.352777341088631</v>
      </c>
      <c r="M79" s="5">
        <f t="shared" si="138"/>
        <v>16.09321247039896</v>
      </c>
    </row>
    <row r="80" spans="1:13" x14ac:dyDescent="0.3">
      <c r="A80" s="85" t="s">
        <v>0</v>
      </c>
      <c r="B80" s="40"/>
      <c r="C80" s="2">
        <f>IFERROR((C79/B79)-1,"N/A")</f>
        <v>3.1797262276856531E-2</v>
      </c>
      <c r="D80" s="2">
        <f t="shared" ref="D80:H80" si="139">IFERROR((D79/C79)-1,"N/A")</f>
        <v>-6.9226567250117998E-3</v>
      </c>
      <c r="E80" s="2">
        <f t="shared" si="139"/>
        <v>-1.7603455908293264E-2</v>
      </c>
      <c r="F80" s="2">
        <f t="shared" si="139"/>
        <v>-1.6419509684358236E-2</v>
      </c>
      <c r="G80" s="2">
        <f t="shared" si="139"/>
        <v>-0.15741060961882369</v>
      </c>
      <c r="H80" s="2">
        <f t="shared" si="139"/>
        <v>-8.4291639105682381E-2</v>
      </c>
      <c r="I80" s="2">
        <f t="shared" ref="I80" si="140">IFERROR((I79/H79)-1,"N/A")</f>
        <v>-1.0886034555404267E-2</v>
      </c>
      <c r="J80" s="2">
        <f t="shared" ref="J80:K80" si="141">IFERROR((J79/I79)-1,"N/A")</f>
        <v>-3.379410099351432E-2</v>
      </c>
      <c r="K80" s="2">
        <f t="shared" si="141"/>
        <v>3.1848169719254749E-2</v>
      </c>
      <c r="L80" s="2">
        <f t="shared" ref="L80" si="142">IFERROR((L79/K79)-1,"N/A")</f>
        <v>0.58954957555437404</v>
      </c>
      <c r="M80" s="2">
        <f t="shared" ref="M80" si="143">IFERROR((M79/L79)-1,"N/A")</f>
        <v>0.30280114552608706</v>
      </c>
    </row>
    <row r="81" spans="1:13" x14ac:dyDescent="0.3">
      <c r="A81" s="85" t="s">
        <v>48</v>
      </c>
      <c r="B81" s="2">
        <f t="shared" ref="B81:J81" si="144">IFERROR(B26/B13, "N/A")</f>
        <v>0.12849990728722407</v>
      </c>
      <c r="C81" s="2">
        <f t="shared" si="144"/>
        <v>0.10695831898036529</v>
      </c>
      <c r="D81" s="2">
        <f t="shared" si="144"/>
        <v>0.11971947194719483</v>
      </c>
      <c r="E81" s="2">
        <f t="shared" si="144"/>
        <v>0.12235503149733477</v>
      </c>
      <c r="F81" s="2">
        <f t="shared" si="144"/>
        <v>0.1259041591320072</v>
      </c>
      <c r="G81" s="2">
        <f t="shared" si="144"/>
        <v>0.18113642918950099</v>
      </c>
      <c r="H81" s="2">
        <f t="shared" si="144"/>
        <v>0.18491517340055877</v>
      </c>
      <c r="I81" s="2">
        <f t="shared" si="144"/>
        <v>0.17554762490770373</v>
      </c>
      <c r="J81" s="2">
        <f t="shared" si="144"/>
        <v>0.17847025495750707</v>
      </c>
      <c r="K81" s="2">
        <f t="shared" ref="K81" si="145">IFERROR(K26/K13, "N/A")</f>
        <v>0.19005802101301555</v>
      </c>
      <c r="L81" s="2">
        <f t="shared" ref="L81:M81" si="146">IFERROR(L26/L13, "N/A")</f>
        <v>-0.27704440253728785</v>
      </c>
      <c r="M81" s="2">
        <f t="shared" si="146"/>
        <v>-0.42148576512455493</v>
      </c>
    </row>
    <row r="82" spans="1:13" x14ac:dyDescent="0.3">
      <c r="A82" s="85" t="s">
        <v>465</v>
      </c>
      <c r="B82" s="2">
        <f>IFERROR(B75/B63,"")</f>
        <v>0.71199866620693031</v>
      </c>
      <c r="C82" s="2">
        <f t="shared" ref="C82:H82" si="147">IFERROR(C75/C63,"")</f>
        <v>0.7286096760446531</v>
      </c>
      <c r="D82" s="2">
        <f t="shared" si="147"/>
        <v>0.7281822275346207</v>
      </c>
      <c r="E82" s="2">
        <f t="shared" si="147"/>
        <v>0.72685073434492975</v>
      </c>
      <c r="F82" s="2">
        <f t="shared" si="147"/>
        <v>0.72890808281235719</v>
      </c>
      <c r="G82" s="2">
        <f t="shared" si="147"/>
        <v>0.68393045579249867</v>
      </c>
      <c r="H82" s="2">
        <f t="shared" si="147"/>
        <v>0.67228719693669381</v>
      </c>
      <c r="I82" s="2">
        <f t="shared" ref="I82:J82" si="148">IFERROR(I75/I63,"")</f>
        <v>0.67823021932354988</v>
      </c>
      <c r="J82" s="2">
        <f t="shared" si="148"/>
        <v>0.68439816762690675</v>
      </c>
      <c r="K82" s="2">
        <f t="shared" ref="K82" si="149">IFERROR(K75/K63,"")</f>
        <v>0.67567916631270997</v>
      </c>
      <c r="L82" s="2">
        <f t="shared" ref="L82:M82" si="150">IFERROR(L75/L63,"")</f>
        <v>0.78713192240840335</v>
      </c>
      <c r="M82" s="2">
        <f t="shared" si="150"/>
        <v>0.77817744436577374</v>
      </c>
    </row>
    <row r="83" spans="1:13" x14ac:dyDescent="0.3">
      <c r="A83" s="85" t="s">
        <v>466</v>
      </c>
      <c r="B83" s="5">
        <f t="shared" ref="B83:J83" si="151">IFERROR((B13-B30)*100/B52, "N/A")</f>
        <v>15.937212613073477</v>
      </c>
      <c r="C83" s="5">
        <f t="shared" si="151"/>
        <v>17.397154990427548</v>
      </c>
      <c r="D83" s="5">
        <f t="shared" si="151"/>
        <v>17.373838461493524</v>
      </c>
      <c r="E83" s="5">
        <f t="shared" si="151"/>
        <v>16.657585830175826</v>
      </c>
      <c r="F83" s="5">
        <f t="shared" si="151"/>
        <v>16.199742858049721</v>
      </c>
      <c r="G83" s="5">
        <f t="shared" si="151"/>
        <v>11.966332941387636</v>
      </c>
      <c r="H83" s="5">
        <f t="shared" si="151"/>
        <v>10.775184721170149</v>
      </c>
      <c r="I83" s="5">
        <f t="shared" si="151"/>
        <v>11.059507145245604</v>
      </c>
      <c r="J83" s="5">
        <f t="shared" si="151"/>
        <v>11.488821766306353</v>
      </c>
      <c r="K83" s="5">
        <f t="shared" ref="K83" si="152">IFERROR((K13-K30)*100/K52, "N/A")</f>
        <v>11.67790883672432</v>
      </c>
      <c r="L83" s="5">
        <f t="shared" ref="L83:M83" si="153">IFERROR((L13-L30)*100/L52, "N/A")</f>
        <v>18.745899088859488</v>
      </c>
      <c r="M83" s="5">
        <f t="shared" si="153"/>
        <v>24.463628856382023</v>
      </c>
    </row>
    <row r="84" spans="1:13" x14ac:dyDescent="0.3">
      <c r="A84" s="85" t="s">
        <v>0</v>
      </c>
      <c r="B84" s="40"/>
      <c r="C84" s="2">
        <f>IFERROR((C83/B83)-1,"N/A")</f>
        <v>9.1605879446978289E-2</v>
      </c>
      <c r="D84" s="2">
        <f t="shared" ref="D84:H84" si="154">IFERROR((D83/C83)-1,"N/A")</f>
        <v>-1.340249537746474E-3</v>
      </c>
      <c r="E84" s="2">
        <f t="shared" si="154"/>
        <v>-4.1225929025710872E-2</v>
      </c>
      <c r="F84" s="2">
        <f t="shared" si="154"/>
        <v>-2.7485553836781418E-2</v>
      </c>
      <c r="G84" s="2">
        <f t="shared" si="154"/>
        <v>-0.26132574780706996</v>
      </c>
      <c r="H84" s="2">
        <f t="shared" si="154"/>
        <v>-9.9541624493640346E-2</v>
      </c>
      <c r="I84" s="2">
        <f t="shared" ref="I84" si="155">IFERROR((I83/H83)-1,"N/A")</f>
        <v>2.6386779571105023E-2</v>
      </c>
      <c r="J84" s="2">
        <f t="shared" ref="J84:K84" si="156">IFERROR((J83/I83)-1,"N/A")</f>
        <v>3.8818603344843217E-2</v>
      </c>
      <c r="K84" s="2">
        <f t="shared" si="156"/>
        <v>1.6458351801793114E-2</v>
      </c>
      <c r="L84" s="2">
        <f t="shared" ref="L84" si="157">IFERROR((L83/K83)-1,"N/A")</f>
        <v>0.60524451346186003</v>
      </c>
      <c r="M84" s="2">
        <f t="shared" ref="M84" si="158">IFERROR((M83/L83)-1,"N/A")</f>
        <v>0.30501229844561184</v>
      </c>
    </row>
    <row r="85" spans="1:13" x14ac:dyDescent="0.3">
      <c r="A85" s="85" t="s">
        <v>467</v>
      </c>
      <c r="B85" s="5">
        <f t="shared" ref="B85:J85" si="159">IFERROR((B13-B30+B16)*100/B52,"N/A")</f>
        <v>11.882969174236944</v>
      </c>
      <c r="C85" s="5">
        <f t="shared" si="159"/>
        <v>12.261547705139959</v>
      </c>
      <c r="D85" s="5">
        <f t="shared" si="159"/>
        <v>12.078260376979406</v>
      </c>
      <c r="E85" s="5">
        <f t="shared" si="159"/>
        <v>11.653087970459653</v>
      </c>
      <c r="F85" s="5">
        <f t="shared" si="159"/>
        <v>11.326945516064308</v>
      </c>
      <c r="G85" s="5">
        <f t="shared" si="159"/>
        <v>9.5815833160577153</v>
      </c>
      <c r="H85" s="5">
        <f t="shared" si="159"/>
        <v>8.9205932266042716</v>
      </c>
      <c r="I85" s="5">
        <f t="shared" si="159"/>
        <v>8.8808035906532048</v>
      </c>
      <c r="J85" s="5">
        <f t="shared" si="159"/>
        <v>8.7264098446688703</v>
      </c>
      <c r="K85" s="5">
        <f t="shared" ref="K85" si="160">IFERROR((K13-K30+K16)*100/K52,"N/A")</f>
        <v>9.097960096524714</v>
      </c>
      <c r="L85" s="5">
        <f t="shared" ref="L85:M85" si="161">IFERROR((L13-L30+L16)*100/L52,"N/A")</f>
        <v>16.080586269385169</v>
      </c>
      <c r="M85" s="5">
        <f t="shared" si="161"/>
        <v>21.125191808866798</v>
      </c>
    </row>
    <row r="86" spans="1:13" x14ac:dyDescent="0.3">
      <c r="A86" s="85" t="s">
        <v>0</v>
      </c>
      <c r="B86" s="40"/>
      <c r="C86" s="2">
        <f>IFERROR((C85/B85)-1,"N/A")</f>
        <v>3.1858917190814351E-2</v>
      </c>
      <c r="D86" s="2">
        <f t="shared" ref="D86:H86" si="162">IFERROR((D85/C85)-1,"N/A")</f>
        <v>-1.4948139710268427E-2</v>
      </c>
      <c r="E86" s="2">
        <f t="shared" si="162"/>
        <v>-3.5201460578719757E-2</v>
      </c>
      <c r="F86" s="2">
        <f t="shared" si="162"/>
        <v>-2.7987642007175295E-2</v>
      </c>
      <c r="G86" s="2">
        <f t="shared" si="162"/>
        <v>-0.15408939661016763</v>
      </c>
      <c r="H86" s="2">
        <f t="shared" si="162"/>
        <v>-6.8985476371707266E-2</v>
      </c>
      <c r="I86" s="2">
        <f t="shared" ref="I86" si="163">IFERROR((I85/H85)-1,"N/A")</f>
        <v>-4.4604248776192179E-3</v>
      </c>
      <c r="J86" s="2">
        <f t="shared" ref="J86:K86" si="164">IFERROR((J85/I85)-1,"N/A")</f>
        <v>-1.7385109850512781E-2</v>
      </c>
      <c r="K86" s="2">
        <f t="shared" si="164"/>
        <v>4.2577676096984041E-2</v>
      </c>
      <c r="L86" s="2">
        <f t="shared" ref="L86" si="165">IFERROR((L85/K85)-1,"N/A")</f>
        <v>0.76749360282726609</v>
      </c>
      <c r="M86" s="2">
        <f t="shared" ref="M86" si="166">IFERROR((M85/L85)-1,"N/A")</f>
        <v>0.31370781232558298</v>
      </c>
    </row>
    <row r="87" spans="1:13" x14ac:dyDescent="0.3">
      <c r="A87" s="85" t="s">
        <v>468</v>
      </c>
      <c r="B87" s="5">
        <f>IFERROR('Revenue Analysis US$'!B52-'Cost Analysis US$'!B71, "N/A")</f>
        <v>0.55187853748868498</v>
      </c>
      <c r="C87" s="5">
        <f>IFERROR('Revenue Analysis US$'!C52-'Cost Analysis US$'!C71, "N/A")</f>
        <v>0.27237739379747339</v>
      </c>
      <c r="D87" s="5">
        <f>IFERROR('Revenue Analysis US$'!D52-'Cost Analysis US$'!D71, "N/A")</f>
        <v>0.64986453887466311</v>
      </c>
      <c r="E87" s="5">
        <f>IFERROR('Revenue Analysis US$'!E52-'Cost Analysis US$'!E71, "N/A")</f>
        <v>0.87656598052187817</v>
      </c>
      <c r="F87" s="5">
        <f>IFERROR('Revenue Analysis US$'!F52-'Cost Analysis US$'!F71, "N/A")</f>
        <v>1.0598691843389645</v>
      </c>
      <c r="G87" s="5">
        <f>IFERROR('Revenue Analysis US$'!G52-'Cost Analysis US$'!G71, "N/A")</f>
        <v>1.4556263946818984</v>
      </c>
      <c r="H87" s="5">
        <f>IFERROR('Revenue Analysis US$'!H52-'Cost Analysis US$'!H71, "N/A")</f>
        <v>1.1685798096518631</v>
      </c>
      <c r="I87" s="5">
        <f>IFERROR('Revenue Analysis US$'!I52-'Cost Analysis US$'!I71, "N/A")</f>
        <v>1.0376196635127464</v>
      </c>
      <c r="J87" s="5">
        <f>IFERROR('Revenue Analysis US$'!J52-'Cost Analysis US$'!J71, "N/A")</f>
        <v>1.0412114474098431</v>
      </c>
      <c r="K87" s="5">
        <f>IFERROR('Revenue Analysis US$'!K52-'Cost Analysis US$'!K71, "N/A")</f>
        <v>1.1022567118926343</v>
      </c>
      <c r="L87" s="5">
        <f>IFERROR('Revenue Analysis US$'!M52-'Cost Analysis US$'!M71, "N/A")</f>
        <v>-10.793671692786001</v>
      </c>
      <c r="M87" s="5">
        <f>IFERROR('Revenue Analysis US$'!N52-'Cost Analysis US$'!N71, "N/A")</f>
        <v>0</v>
      </c>
    </row>
    <row r="88" spans="1:13" x14ac:dyDescent="0.3">
      <c r="A88" s="85" t="s">
        <v>49</v>
      </c>
      <c r="B88" s="2">
        <f>IFERROR(B83/B63,"N/A")</f>
        <v>0.78963681863906898</v>
      </c>
      <c r="C88" s="2">
        <f t="shared" ref="C88:H88" si="167">IFERROR(C83/C63,"N/A")</f>
        <v>0.80329743743669435</v>
      </c>
      <c r="D88" s="2">
        <f t="shared" si="167"/>
        <v>0.797389911358794</v>
      </c>
      <c r="E88" s="2">
        <f t="shared" si="167"/>
        <v>0.78678063753560379</v>
      </c>
      <c r="F88" s="2">
        <f t="shared" si="167"/>
        <v>0.78269183584118029</v>
      </c>
      <c r="G88" s="2">
        <f t="shared" si="167"/>
        <v>0.74463861882867688</v>
      </c>
      <c r="H88" s="2">
        <f t="shared" si="167"/>
        <v>0.74410722850779598</v>
      </c>
      <c r="I88" s="2">
        <f t="shared" ref="I88:J88" si="168">IFERROR(I83/I63,"N/A")</f>
        <v>0.7520818418321743</v>
      </c>
      <c r="J88" s="2">
        <f t="shared" si="168"/>
        <v>0.76385128823646731</v>
      </c>
      <c r="K88" s="2">
        <f t="shared" ref="K88" si="169">IFERROR(K83/K63,"N/A")</f>
        <v>0.76228122015569433</v>
      </c>
      <c r="L88" s="2">
        <f t="shared" ref="L88:M88" si="170">IFERROR(L83/L63,"N/A")</f>
        <v>0.98251478246118062</v>
      </c>
      <c r="M88" s="2">
        <f t="shared" si="170"/>
        <v>0.97969264862572625</v>
      </c>
    </row>
    <row r="89" spans="1:13" x14ac:dyDescent="0.3">
      <c r="A89" s="8" t="s">
        <v>9</v>
      </c>
      <c r="B89" s="10"/>
      <c r="C89" s="10"/>
      <c r="D89" s="10"/>
      <c r="E89" s="10"/>
      <c r="F89" s="10"/>
      <c r="G89" s="10"/>
      <c r="H89" s="10"/>
      <c r="I89" s="10"/>
      <c r="J89" s="10"/>
      <c r="K89" s="10"/>
      <c r="L89" s="10"/>
      <c r="M89" s="10"/>
    </row>
    <row r="90" spans="1:13" x14ac:dyDescent="0.3">
      <c r="A90" s="85" t="s">
        <v>50</v>
      </c>
      <c r="B90" s="21">
        <f t="shared" ref="B90:J90" si="171">B38</f>
        <v>-365.95191178326331</v>
      </c>
      <c r="C90" s="21">
        <f t="shared" si="171"/>
        <v>-319.56959234651055</v>
      </c>
      <c r="D90" s="21">
        <f t="shared" si="171"/>
        <v>-286.10299707894842</v>
      </c>
      <c r="E90" s="21">
        <f t="shared" si="171"/>
        <v>-340.84288211303164</v>
      </c>
      <c r="F90" s="21">
        <f t="shared" si="171"/>
        <v>-280.58037859133276</v>
      </c>
      <c r="G90" s="21">
        <f t="shared" si="171"/>
        <v>-249.68105006926888</v>
      </c>
      <c r="H90" s="21">
        <f t="shared" si="171"/>
        <v>-238.44737556970813</v>
      </c>
      <c r="I90" s="21">
        <f t="shared" si="171"/>
        <v>-211.84337811672734</v>
      </c>
      <c r="J90" s="21">
        <f t="shared" si="171"/>
        <v>-410.50396063357744</v>
      </c>
      <c r="K90" s="21">
        <f t="shared" ref="K90" si="172">K38</f>
        <v>-361.74542165950714</v>
      </c>
      <c r="L90" s="21">
        <f t="shared" ref="L90:M90" si="173">L38</f>
        <v>-498.65075443730757</v>
      </c>
      <c r="M90" s="21">
        <f t="shared" si="173"/>
        <v>-555.21330663791775</v>
      </c>
    </row>
    <row r="91" spans="1:13" x14ac:dyDescent="0.3">
      <c r="A91" s="85" t="s">
        <v>51</v>
      </c>
      <c r="B91" s="45">
        <f t="shared" ref="B91:J91" si="174">B39</f>
        <v>18.443199798095499</v>
      </c>
      <c r="C91" s="45">
        <f t="shared" si="174"/>
        <v>36.40666241922272</v>
      </c>
      <c r="D91" s="45">
        <f t="shared" si="174"/>
        <v>37.013324796926895</v>
      </c>
      <c r="E91" s="45">
        <f t="shared" si="174"/>
        <v>31.073994950475818</v>
      </c>
      <c r="F91" s="45">
        <f t="shared" si="174"/>
        <v>37.474776592678005</v>
      </c>
      <c r="G91" s="45">
        <f t="shared" si="174"/>
        <v>36.004163959831878</v>
      </c>
      <c r="H91" s="45">
        <f t="shared" si="174"/>
        <v>36.219854516917692</v>
      </c>
      <c r="I91" s="45">
        <f t="shared" si="174"/>
        <v>46.220373407285969</v>
      </c>
      <c r="J91" s="45">
        <f t="shared" si="174"/>
        <v>83.335390504560834</v>
      </c>
      <c r="K91" s="45">
        <f t="shared" ref="K91" si="175">K39</f>
        <v>123.5963524003316</v>
      </c>
      <c r="L91" s="45">
        <f t="shared" ref="L91:M91" si="176">L39</f>
        <v>100.33826156360458</v>
      </c>
      <c r="M91" s="45">
        <f t="shared" si="176"/>
        <v>61.604805174803637</v>
      </c>
    </row>
    <row r="92" spans="1:13" s="44" customFormat="1" x14ac:dyDescent="0.3">
      <c r="A92" s="42" t="s">
        <v>52</v>
      </c>
      <c r="B92" s="43">
        <f>B90+B91</f>
        <v>-347.50871198516779</v>
      </c>
      <c r="C92" s="43">
        <f t="shared" ref="C92:H92" si="177">C90+C91</f>
        <v>-283.16292992728785</v>
      </c>
      <c r="D92" s="43">
        <f t="shared" si="177"/>
        <v>-249.08967228202152</v>
      </c>
      <c r="E92" s="43">
        <f t="shared" si="177"/>
        <v>-309.76888716255581</v>
      </c>
      <c r="F92" s="43">
        <f t="shared" si="177"/>
        <v>-243.10560199865475</v>
      </c>
      <c r="G92" s="43">
        <f t="shared" si="177"/>
        <v>-213.67688610943699</v>
      </c>
      <c r="H92" s="43">
        <f t="shared" si="177"/>
        <v>-202.22752105279045</v>
      </c>
      <c r="I92" s="43">
        <f t="shared" ref="I92:J92" si="178">I90+I91</f>
        <v>-165.62300470944137</v>
      </c>
      <c r="J92" s="43">
        <f t="shared" si="178"/>
        <v>-327.16857012901659</v>
      </c>
      <c r="K92" s="43">
        <f t="shared" ref="K92" si="179">K90+K91</f>
        <v>-238.14906925917555</v>
      </c>
      <c r="L92" s="43">
        <f t="shared" ref="L92:M92" si="180">L90+L91</f>
        <v>-398.31249287370298</v>
      </c>
      <c r="M92" s="43">
        <f t="shared" si="180"/>
        <v>-493.60850146311412</v>
      </c>
    </row>
    <row r="93" spans="1:13" x14ac:dyDescent="0.3">
      <c r="A93" s="85" t="s">
        <v>53</v>
      </c>
      <c r="B93" s="21">
        <f t="shared" ref="B93:J93" si="181">B27</f>
        <v>-335.86037527058119</v>
      </c>
      <c r="C93" s="21">
        <f t="shared" si="181"/>
        <v>-338.78421973443363</v>
      </c>
      <c r="D93" s="21">
        <f t="shared" si="181"/>
        <v>-336.12100356128207</v>
      </c>
      <c r="E93" s="21">
        <f t="shared" si="181"/>
        <v>-308.79782482035347</v>
      </c>
      <c r="F93" s="21">
        <f t="shared" si="181"/>
        <v>-300.75910444892861</v>
      </c>
      <c r="G93" s="21">
        <f t="shared" si="181"/>
        <v>-276.29282343088374</v>
      </c>
      <c r="H93" s="21">
        <f t="shared" si="181"/>
        <v>-348.61609972533279</v>
      </c>
      <c r="I93" s="21">
        <f t="shared" si="181"/>
        <v>-387.48079706441399</v>
      </c>
      <c r="J93" s="21">
        <f t="shared" si="181"/>
        <v>0</v>
      </c>
      <c r="K93" s="21">
        <f t="shared" ref="K93" si="182">K27</f>
        <v>0</v>
      </c>
      <c r="L93" s="21">
        <f t="shared" ref="L93:M93" si="183">L27</f>
        <v>0</v>
      </c>
      <c r="M93" s="21">
        <f t="shared" si="183"/>
        <v>0</v>
      </c>
    </row>
    <row r="94" spans="1:13" x14ac:dyDescent="0.3">
      <c r="A94" s="85" t="s">
        <v>54</v>
      </c>
      <c r="B94" s="21">
        <f>B21</f>
        <v>0</v>
      </c>
      <c r="C94" s="21">
        <f t="shared" ref="C94:J94" si="184">C21</f>
        <v>0</v>
      </c>
      <c r="D94" s="21">
        <f t="shared" si="184"/>
        <v>0</v>
      </c>
      <c r="E94" s="21">
        <f t="shared" si="184"/>
        <v>0</v>
      </c>
      <c r="F94" s="21">
        <f t="shared" si="184"/>
        <v>0</v>
      </c>
      <c r="G94" s="21">
        <f t="shared" si="184"/>
        <v>0</v>
      </c>
      <c r="H94" s="21">
        <f t="shared" si="184"/>
        <v>0</v>
      </c>
      <c r="I94" s="21">
        <f t="shared" si="184"/>
        <v>0</v>
      </c>
      <c r="J94" s="21">
        <f t="shared" si="184"/>
        <v>0</v>
      </c>
      <c r="K94" s="21">
        <f t="shared" ref="K94" si="185">K21</f>
        <v>0</v>
      </c>
      <c r="L94" s="21">
        <f t="shared" ref="L94:M94" si="186">L21</f>
        <v>0</v>
      </c>
      <c r="M94" s="21">
        <f t="shared" si="186"/>
        <v>0</v>
      </c>
    </row>
    <row r="95" spans="1:13" x14ac:dyDescent="0.3">
      <c r="A95" s="14" t="s">
        <v>55</v>
      </c>
      <c r="B95" s="43">
        <f t="shared" ref="B95:H95" si="187">SUM(B92:B94)</f>
        <v>-683.36908725574904</v>
      </c>
      <c r="C95" s="43">
        <f t="shared" si="187"/>
        <v>-621.94714966172148</v>
      </c>
      <c r="D95" s="43">
        <f t="shared" si="187"/>
        <v>-585.21067584330353</v>
      </c>
      <c r="E95" s="43">
        <f t="shared" si="187"/>
        <v>-618.56671198290928</v>
      </c>
      <c r="F95" s="43">
        <f t="shared" si="187"/>
        <v>-543.86470644758333</v>
      </c>
      <c r="G95" s="43">
        <f t="shared" si="187"/>
        <v>-489.96970954032076</v>
      </c>
      <c r="H95" s="43">
        <f t="shared" si="187"/>
        <v>-550.8436207781233</v>
      </c>
      <c r="I95" s="43">
        <f t="shared" ref="I95:J95" si="188">SUM(I92:I94)</f>
        <v>-553.10380177385537</v>
      </c>
      <c r="J95" s="43">
        <f t="shared" si="188"/>
        <v>-327.16857012901659</v>
      </c>
      <c r="K95" s="43">
        <f t="shared" ref="K95" si="189">SUM(K92:K94)</f>
        <v>-238.14906925917555</v>
      </c>
      <c r="L95" s="43">
        <f t="shared" ref="L95:M95" si="190">SUM(L92:L94)</f>
        <v>-398.31249287370298</v>
      </c>
      <c r="M95" s="43">
        <f t="shared" si="190"/>
        <v>-493.60850146311412</v>
      </c>
    </row>
    <row r="96" spans="1:13" x14ac:dyDescent="0.3">
      <c r="A96" s="8" t="s">
        <v>7</v>
      </c>
      <c r="B96" s="10"/>
      <c r="C96" s="10"/>
      <c r="D96" s="10"/>
      <c r="E96" s="10"/>
      <c r="F96" s="10"/>
      <c r="G96" s="10"/>
      <c r="H96" s="10"/>
      <c r="I96" s="10"/>
      <c r="J96" s="10"/>
      <c r="K96" s="10"/>
      <c r="L96" s="10"/>
      <c r="M96" s="10"/>
    </row>
    <row r="97" spans="1:13" x14ac:dyDescent="0.3">
      <c r="A97" s="85" t="s">
        <v>56</v>
      </c>
      <c r="B97" s="46">
        <f>IFERROR(B26/(-B95+'Balance Sheet US$'!B35+'Balance Sheet US$'!B36),"")</f>
        <v>1.1297250569402051</v>
      </c>
      <c r="C97" s="46">
        <f>IFERROR(C26/(-C95+'Balance Sheet US$'!C35+'Balance Sheet US$'!C36),"")</f>
        <v>1.2112635515909873</v>
      </c>
      <c r="D97" s="46">
        <f>IFERROR(D26/(-D95+'Balance Sheet US$'!D35+'Balance Sheet US$'!D36),"")</f>
        <v>1.3283467160748981</v>
      </c>
      <c r="E97" s="46">
        <f>IFERROR(E26/(-E95+'Balance Sheet US$'!E35+'Balance Sheet US$'!E36),"")</f>
        <v>1.5161513426540512</v>
      </c>
      <c r="F97" s="46">
        <f>IFERROR(F26/(-F95+'Balance Sheet US$'!F35+'Balance Sheet US$'!F36),"")</f>
        <v>1.6700965533198213</v>
      </c>
      <c r="G97" s="46">
        <f>IFERROR(G26/(-G95+'Balance Sheet US$'!G35+'Balance Sheet US$'!G36),"")</f>
        <v>2.264157152023428</v>
      </c>
      <c r="H97" s="46">
        <f>IFERROR(H26/(-H95+'Balance Sheet US$'!H35+'Balance Sheet US$'!H36),"")</f>
        <v>1.9006795141381689</v>
      </c>
      <c r="I97" s="46">
        <f>IFERROR(I26/(-I95+'Balance Sheet US$'!I35+'Balance Sheet US$'!I36),"")</f>
        <v>2.0221136975813256</v>
      </c>
      <c r="J97" s="46">
        <f>IFERROR(J26/(-J95+'Balance Sheet US$'!J35+'Balance Sheet US$'!J36),"")</f>
        <v>2.2599640797652478</v>
      </c>
      <c r="K97" s="46">
        <f>IFERROR(K26/(-K95+'Balance Sheet US$'!K35+'Balance Sheet US$'!K36),"")</f>
        <v>2.3305297880510296</v>
      </c>
      <c r="L97" s="46">
        <f>IFERROR(L26/(-L95+'Balance Sheet US$'!M35+'Balance Sheet US$'!M36),"")</f>
        <v>-1.0092501202808608</v>
      </c>
      <c r="M97" s="46">
        <f>IFERROR(M26/(-M95+'Balance Sheet US$'!N35+'Balance Sheet US$'!N36),"")</f>
        <v>-2.9563182527301075</v>
      </c>
    </row>
    <row r="98" spans="1:13" x14ac:dyDescent="0.3">
      <c r="A98" s="85" t="s">
        <v>57</v>
      </c>
      <c r="B98" s="46">
        <f t="shared" ref="B98:J98" si="191">IFERROR(B26/-B95,"")</f>
        <v>1.968749999999998</v>
      </c>
      <c r="C98" s="46">
        <f t="shared" si="191"/>
        <v>2.0195121951219539</v>
      </c>
      <c r="D98" s="46">
        <f t="shared" si="191"/>
        <v>2.4803418803418831</v>
      </c>
      <c r="E98" s="46">
        <f t="shared" si="191"/>
        <v>2.3783359497645198</v>
      </c>
      <c r="F98" s="46">
        <f t="shared" si="191"/>
        <v>2.9522968197879851</v>
      </c>
      <c r="G98" s="46">
        <f t="shared" si="191"/>
        <v>4.0127795527156538</v>
      </c>
      <c r="H98" s="46">
        <f t="shared" si="191"/>
        <v>3.717808219178083</v>
      </c>
      <c r="I98" s="46">
        <f t="shared" si="191"/>
        <v>3.9735376044568262</v>
      </c>
      <c r="J98" s="46">
        <f t="shared" si="191"/>
        <v>7.5778301886792452</v>
      </c>
      <c r="K98" s="46">
        <f t="shared" ref="K98" si="192">IFERROR(K26/-K95,"")</f>
        <v>11.506329113924052</v>
      </c>
      <c r="L98" s="46">
        <f t="shared" ref="L98:M98" si="193">IFERROR(L26/-L95,"")</f>
        <v>-3.0839694656488557</v>
      </c>
      <c r="M98" s="46">
        <f t="shared" si="193"/>
        <v>-2.9563182527301075</v>
      </c>
    </row>
    <row r="99" spans="1:13" x14ac:dyDescent="0.3">
      <c r="A99" s="85" t="s">
        <v>58</v>
      </c>
      <c r="B99" s="46">
        <f t="shared" ref="B99:J99" si="194">IFERROR(B28/-B92,"")</f>
        <v>2.9050279329608903</v>
      </c>
      <c r="C99" s="46">
        <f t="shared" si="194"/>
        <v>3.2392857142857201</v>
      </c>
      <c r="D99" s="46">
        <f t="shared" si="194"/>
        <v>4.4779116465863513</v>
      </c>
      <c r="E99" s="46">
        <f t="shared" si="194"/>
        <v>3.7523510971786807</v>
      </c>
      <c r="F99" s="46">
        <f t="shared" si="194"/>
        <v>5.3675889328063215</v>
      </c>
      <c r="G99" s="46">
        <f t="shared" si="194"/>
        <v>7.908424908424907</v>
      </c>
      <c r="H99" s="46">
        <f t="shared" si="194"/>
        <v>8.4029850746268693</v>
      </c>
      <c r="I99" s="46">
        <f t="shared" si="194"/>
        <v>10.930232558139542</v>
      </c>
      <c r="J99" s="46">
        <f t="shared" si="194"/>
        <v>7.5778301886792452</v>
      </c>
      <c r="K99" s="46">
        <f t="shared" ref="K99" si="195">IFERROR(K28/-K92,"")</f>
        <v>11.506329113924052</v>
      </c>
      <c r="L99" s="46">
        <f t="shared" ref="L99:M99" si="196">IFERROR(L28/-L92,"")</f>
        <v>-3.0839694656488557</v>
      </c>
      <c r="M99" s="46">
        <f t="shared" si="196"/>
        <v>-2.9563182527301075</v>
      </c>
    </row>
    <row r="100" spans="1:13" x14ac:dyDescent="0.3">
      <c r="A100" s="8" t="s">
        <v>4</v>
      </c>
      <c r="B100" s="10"/>
      <c r="C100" s="10"/>
      <c r="D100" s="10"/>
      <c r="E100" s="10"/>
      <c r="F100" s="10"/>
      <c r="G100" s="10"/>
      <c r="H100" s="10"/>
      <c r="I100" s="10"/>
      <c r="J100" s="10"/>
      <c r="K100" s="10"/>
      <c r="L100" s="10"/>
      <c r="M100" s="10"/>
    </row>
    <row r="101" spans="1:13" x14ac:dyDescent="0.3">
      <c r="A101" s="85" t="s">
        <v>59</v>
      </c>
      <c r="B101" s="2">
        <f t="shared" ref="B101:C101" si="197">IFERROR(B30/B13,"")</f>
        <v>3.3469312071203294E-2</v>
      </c>
      <c r="C101" s="2">
        <f t="shared" si="197"/>
        <v>1.5415087840165495E-2</v>
      </c>
      <c r="D101" s="2">
        <f t="shared" ref="D101:J101" si="198">IFERROR(D30/D13,"")</f>
        <v>3.6056105610561176E-2</v>
      </c>
      <c r="E101" s="2">
        <f t="shared" si="198"/>
        <v>4.9991923760297131E-2</v>
      </c>
      <c r="F101" s="2">
        <f t="shared" si="198"/>
        <v>6.1407474382157871E-2</v>
      </c>
      <c r="G101" s="2">
        <f t="shared" si="198"/>
        <v>0.10845111047014708</v>
      </c>
      <c r="H101" s="2">
        <f t="shared" si="198"/>
        <v>9.7840158070450448E-2</v>
      </c>
      <c r="I101" s="2">
        <f t="shared" si="198"/>
        <v>8.5774058577405943E-2</v>
      </c>
      <c r="J101" s="2">
        <f t="shared" si="198"/>
        <v>8.3097261567516512E-2</v>
      </c>
      <c r="K101" s="2">
        <f t="shared" ref="K101" si="199">IFERROR(K30/K13,"")</f>
        <v>8.6247451779833811E-2</v>
      </c>
      <c r="L101" s="2">
        <f t="shared" ref="L101:M101" si="200">IFERROR(L30/L13,"")</f>
        <v>-0.59403394479684557</v>
      </c>
      <c r="M101" s="2">
        <f t="shared" si="200"/>
        <v>-0.78959074733096068</v>
      </c>
    </row>
    <row r="102" spans="1:13" x14ac:dyDescent="0.3">
      <c r="A102" s="85" t="s">
        <v>60</v>
      </c>
      <c r="B102" s="46">
        <f t="shared" ref="B102:C102" si="201">IFERROR(B30/-B90,"")</f>
        <v>0.95755968169760919</v>
      </c>
      <c r="C102" s="46">
        <f t="shared" si="201"/>
        <v>0.56645569620253722</v>
      </c>
      <c r="D102" s="46">
        <f t="shared" ref="D102:J102" si="202">IFERROR(D30/-D90,"")</f>
        <v>1.5279720279720332</v>
      </c>
      <c r="E102" s="46">
        <f t="shared" si="202"/>
        <v>1.7635327635327609</v>
      </c>
      <c r="F102" s="46">
        <f t="shared" si="202"/>
        <v>2.7910958904109564</v>
      </c>
      <c r="G102" s="46">
        <f t="shared" si="202"/>
        <v>4.7147335423197481</v>
      </c>
      <c r="H102" s="46">
        <f t="shared" si="202"/>
        <v>4.5443037974683582</v>
      </c>
      <c r="I102" s="46">
        <f t="shared" si="202"/>
        <v>5.0690909090909138</v>
      </c>
      <c r="J102" s="46">
        <f t="shared" si="202"/>
        <v>2.8120300751879697</v>
      </c>
      <c r="K102" s="46">
        <f t="shared" ref="K102" si="203">IFERROR(K30/-K90,"")</f>
        <v>3.4375000000000013</v>
      </c>
      <c r="L102" s="46">
        <f t="shared" ref="L102:M102" si="204">IFERROR(L30/-L90,"")</f>
        <v>-5.2820121951219523</v>
      </c>
      <c r="M102" s="46">
        <f t="shared" si="204"/>
        <v>-4.9237170596393884</v>
      </c>
    </row>
    <row r="103" spans="1:13" x14ac:dyDescent="0.3">
      <c r="A103" s="85" t="s">
        <v>61</v>
      </c>
      <c r="B103" s="46">
        <f t="shared" ref="B103:C103" si="205">IFERROR(B30/-B92,"")</f>
        <v>1.0083798882681527</v>
      </c>
      <c r="C103" s="46">
        <f t="shared" si="205"/>
        <v>0.63928571428572045</v>
      </c>
      <c r="D103" s="46">
        <f t="shared" ref="D103:J103" si="206">IFERROR(D30/-D92,"")</f>
        <v>1.7550200803212912</v>
      </c>
      <c r="E103" s="46">
        <f t="shared" si="206"/>
        <v>1.9404388714733514</v>
      </c>
      <c r="F103" s="46">
        <f t="shared" si="206"/>
        <v>3.221343873517784</v>
      </c>
      <c r="G103" s="46">
        <f t="shared" si="206"/>
        <v>5.5091575091575082</v>
      </c>
      <c r="H103" s="46">
        <f t="shared" si="206"/>
        <v>5.3582089552238843</v>
      </c>
      <c r="I103" s="46">
        <f t="shared" si="206"/>
        <v>6.4837209302325647</v>
      </c>
      <c r="J103" s="46">
        <f t="shared" si="206"/>
        <v>3.5283018867924527</v>
      </c>
      <c r="K103" s="46">
        <f t="shared" ref="K103" si="207">IFERROR(K30/-K92,"")</f>
        <v>5.2215189873417742</v>
      </c>
      <c r="L103" s="46">
        <f t="shared" ref="L103:M103" si="208">IFERROR(L30/-L92,"")</f>
        <v>-6.6125954198473291</v>
      </c>
      <c r="M103" s="46">
        <f t="shared" si="208"/>
        <v>-5.5382215288611532</v>
      </c>
    </row>
    <row r="104" spans="1:13" x14ac:dyDescent="0.3">
      <c r="A104" s="8" t="s">
        <v>62</v>
      </c>
      <c r="B104" s="10"/>
      <c r="C104" s="10"/>
      <c r="D104" s="10"/>
      <c r="E104" s="10"/>
      <c r="F104" s="10"/>
      <c r="G104" s="10"/>
      <c r="H104" s="10"/>
      <c r="I104" s="10"/>
      <c r="J104" s="10"/>
      <c r="K104" s="10"/>
      <c r="L104" s="10"/>
      <c r="M104" s="10"/>
    </row>
    <row r="105" spans="1:13" x14ac:dyDescent="0.3">
      <c r="A105" s="85" t="s">
        <v>63</v>
      </c>
      <c r="B105" s="40"/>
      <c r="C105" s="2">
        <f>IFERROR(C30/AVERAGE('Balance Sheet US$'!B34:C34),"")</f>
        <v>1.8079150313547586E-2</v>
      </c>
      <c r="D105" s="2">
        <f>IFERROR(D30/AVERAGE('Balance Sheet US$'!C34:D34),"")</f>
        <v>4.7219519507678095E-2</v>
      </c>
      <c r="E105" s="2">
        <f>IFERROR(E30/AVERAGE('Balance Sheet US$'!D34:E34),"")</f>
        <v>6.6809783248601554E-2</v>
      </c>
      <c r="F105" s="2">
        <f>IFERROR(F30/AVERAGE('Balance Sheet US$'!E34:F34),"")</f>
        <v>8.6567544404018495E-2</v>
      </c>
      <c r="G105" s="2">
        <f>IFERROR(G30/AVERAGE('Balance Sheet US$'!F34:G34),"")</f>
        <v>0.12613296958398151</v>
      </c>
      <c r="H105" s="2">
        <f>IFERROR(H30/AVERAGE('Balance Sheet US$'!G34:H34),"")</f>
        <v>0.10450281281491049</v>
      </c>
      <c r="I105" s="2">
        <f>IFERROR(I30/AVERAGE('Balance Sheet US$'!H34:I34),"")</f>
        <v>8.4767182253760523E-2</v>
      </c>
      <c r="J105" s="2">
        <f>IFERROR(J30/AVERAGE('Balance Sheet US$'!I34:J34),"")</f>
        <v>7.6564850421097133E-2</v>
      </c>
      <c r="K105" s="2">
        <f>IFERROR(K30/AVERAGE('Balance Sheet US$'!J34:K34),"")</f>
        <v>6.6418132859889623E-2</v>
      </c>
      <c r="L105" s="2">
        <f>IFERROR(L30/AVERAGE('Balance Sheet US$'!K34:M34),"")</f>
        <v>-0.11703059840014331</v>
      </c>
      <c r="M105" s="2">
        <f>IFERROR(M30/AVERAGE('Balance Sheet US$'!M34:N34),"")</f>
        <v>-0.11183864420632726</v>
      </c>
    </row>
    <row r="106" spans="1:13" x14ac:dyDescent="0.3">
      <c r="A106" s="85" t="s">
        <v>64</v>
      </c>
      <c r="B106" s="40"/>
      <c r="C106" s="2">
        <f>IFERROR(C30/AVERAGE(('Balance Sheet US$'!B75+'Balance Sheet US$'!B66),('Balance Sheet US$'!C66+'Balance Sheet US$'!C75)),"")</f>
        <v>5.0423874432786175E-2</v>
      </c>
      <c r="D106" s="2">
        <f>IFERROR(D30/AVERAGE(('Balance Sheet US$'!C75+'Balance Sheet US$'!C66),('Balance Sheet US$'!D66+'Balance Sheet US$'!D75)),"")</f>
        <v>0.55698502968326868</v>
      </c>
      <c r="E106" s="2">
        <f>IFERROR(E30/AVERAGE(('Balance Sheet US$'!D75+'Balance Sheet US$'!D66),('Balance Sheet US$'!E66+'Balance Sheet US$'!E75)),"")</f>
        <v>0.31787609730038824</v>
      </c>
      <c r="F106" s="2">
        <f>IFERROR(F30/AVERAGE(('Balance Sheet US$'!E75+'Balance Sheet US$'!E66),('Balance Sheet US$'!F66+'Balance Sheet US$'!F75)),"")</f>
        <v>0.24054146188217448</v>
      </c>
      <c r="G106" s="2">
        <f>IFERROR(G30/AVERAGE(('Balance Sheet US$'!F75+'Balance Sheet US$'!F66),('Balance Sheet US$'!G66+'Balance Sheet US$'!G75)),"")</f>
        <v>0.28311697325701468</v>
      </c>
      <c r="H106" s="2">
        <f>IFERROR(H30/AVERAGE(('Balance Sheet US$'!G75+'Balance Sheet US$'!G66),('Balance Sheet US$'!H66+'Balance Sheet US$'!H75)),"")</f>
        <v>0.20235413236680233</v>
      </c>
      <c r="I106" s="2">
        <f>IFERROR(I30/AVERAGE(('Balance Sheet US$'!H75+'Balance Sheet US$'!H66),('Balance Sheet US$'!I66+'Balance Sheet US$'!I75)),"")</f>
        <v>0.16147232262456168</v>
      </c>
      <c r="J106" s="2">
        <f>IFERROR(J30/AVERAGE(('Balance Sheet US$'!I75+'Balance Sheet US$'!I66),('Balance Sheet US$'!J66+'Balance Sheet US$'!J75)),"")</f>
        <v>0.17127789357563741</v>
      </c>
      <c r="K106" s="2">
        <f>IFERROR(K30/AVERAGE(('Balance Sheet US$'!J75+'Balance Sheet US$'!J66),('Balance Sheet US$'!K66+'Balance Sheet US$'!K75)),"")</f>
        <v>0.20375461534563322</v>
      </c>
      <c r="L106" s="2">
        <f>IFERROR(L30/AVERAGE(('Balance Sheet US$'!K75+'Balance Sheet US$'!K66),('Balance Sheet US$'!M66+'Balance Sheet US$'!M75)),"")</f>
        <v>-0.42064768340582742</v>
      </c>
      <c r="M106" s="2">
        <f>IFERROR(M30/AVERAGE(('Balance Sheet US$'!M75+'Balance Sheet US$'!M66),('Balance Sheet US$'!N66+'Balance Sheet US$'!N75)),"")</f>
        <v>-0.83414422632657648</v>
      </c>
    </row>
    <row r="107" spans="1:13" x14ac:dyDescent="0.3">
      <c r="A107" s="85" t="s">
        <v>65</v>
      </c>
      <c r="B107" s="40"/>
      <c r="C107" s="2">
        <f>IFERROR(C47/AVERAGE('Balance Sheet US$'!B66:C66),"")</f>
        <v>0.25755500170284024</v>
      </c>
      <c r="D107" s="2">
        <f>IFERROR(D47/AVERAGE('Balance Sheet US$'!C66:D66),"")</f>
        <v>-3.4935792832933611E-2</v>
      </c>
      <c r="E107" s="2">
        <f>IFERROR(E47/AVERAGE('Balance Sheet US$'!D66:E66),"")</f>
        <v>-2.4974029023249558E-3</v>
      </c>
      <c r="F107" s="2">
        <f>IFERROR(F47/AVERAGE('Balance Sheet US$'!E66:F66),"")</f>
        <v>-8.3870881309634188E-2</v>
      </c>
      <c r="G107" s="2">
        <f>IFERROR(G47/AVERAGE('Balance Sheet US$'!F66:G66),"")</f>
        <v>-0.50004129996513491</v>
      </c>
      <c r="H107" s="2">
        <f>IFERROR(H47/AVERAGE('Balance Sheet US$'!G66:H66),"")</f>
        <v>1.4110726161822347</v>
      </c>
      <c r="I107" s="2">
        <f>IFERROR(I47/AVERAGE('Balance Sheet US$'!H66:I66),"")</f>
        <v>0.87318032016725566</v>
      </c>
      <c r="J107" s="2">
        <f>IFERROR(J47/AVERAGE('Balance Sheet US$'!I66:J66),"")</f>
        <v>1.120668149467687E-2</v>
      </c>
      <c r="K107" s="2">
        <f>IFERROR(K47/AVERAGE('Balance Sheet US$'!J66:K66),"")</f>
        <v>0.38394037764412514</v>
      </c>
      <c r="L107" s="2">
        <f>IFERROR(L47/AVERAGE('Balance Sheet US$'!K66:M66),"")</f>
        <v>-2.2134845921243227</v>
      </c>
      <c r="M107" s="2">
        <f>IFERROR(M47/AVERAGE('Balance Sheet US$'!M66:N66),"")</f>
        <v>-28.136669198128388</v>
      </c>
    </row>
    <row r="108" spans="1:13" x14ac:dyDescent="0.3">
      <c r="A108" s="17"/>
      <c r="B108" s="84"/>
      <c r="C108" s="84"/>
      <c r="D108" s="218"/>
      <c r="E108" s="218"/>
      <c r="F108" s="218"/>
      <c r="G108" s="218"/>
      <c r="H108" s="218"/>
      <c r="I108" s="218"/>
      <c r="J108" s="218"/>
      <c r="K108" s="218"/>
      <c r="L108" s="218"/>
      <c r="M108" s="218"/>
    </row>
  </sheetData>
  <mergeCells count="1">
    <mergeCell ref="A1:M1"/>
  </mergeCells>
  <pageMargins left="0.70866141732283472" right="0.70866141732283472" top="0.74803149606299213" bottom="0.74803149606299213" header="0.31496062992125984" footer="0.31496062992125984"/>
  <pageSetup paperSize="9" scale="49" orientation="portrait" r:id="rId1"/>
  <headerFooter alignWithMargins="0"/>
  <rowBreaks count="1" manualBreakCount="1">
    <brk id="72" max="8" man="1"/>
  </rowBreaks>
  <ignoredErrors>
    <ignoredError sqref="B24:G24 B13:G13" formulaRange="1"/>
    <ignoredError sqref="B29 C108 C83:H85 C52:H52 C77:H81 C59:J72" formula="1"/>
  </ignoredError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tint="0.79998168889431442"/>
  </sheetPr>
  <dimension ref="A1:AD116"/>
  <sheetViews>
    <sheetView view="pageBreakPreview" zoomScale="70" zoomScaleNormal="100" zoomScaleSheetLayoutView="70" workbookViewId="0">
      <pane xSplit="1" ySplit="7" topLeftCell="K8" activePane="bottomRight" state="frozen"/>
      <selection pane="topRight" activeCell="B1" sqref="B1"/>
      <selection pane="bottomLeft" activeCell="A8" sqref="A8"/>
      <selection pane="bottomRight" activeCell="K2" sqref="K1:AB1048576"/>
    </sheetView>
  </sheetViews>
  <sheetFormatPr defaultColWidth="8.88671875" defaultRowHeight="14.4" x14ac:dyDescent="0.3"/>
  <cols>
    <col min="1" max="1" width="47.6640625" style="13" bestFit="1" customWidth="1"/>
    <col min="2" max="3" width="11.5546875" style="13" customWidth="1"/>
    <col min="4" max="4" width="11.44140625" style="13" customWidth="1"/>
    <col min="5" max="5" width="11.109375" style="13" customWidth="1"/>
    <col min="6" max="6" width="10.6640625" style="13" customWidth="1"/>
    <col min="7" max="7" width="11.33203125" style="13" customWidth="1"/>
    <col min="8" max="11" width="11.44140625" style="13" customWidth="1"/>
    <col min="12" max="12" width="11.6640625" style="13" bestFit="1" customWidth="1"/>
    <col min="13" max="13" width="11.44140625" style="13" customWidth="1"/>
    <col min="14" max="14" width="11" style="13" bestFit="1" customWidth="1"/>
    <col min="15" max="15" width="11.44140625" style="13" customWidth="1"/>
    <col min="16" max="16" width="11.6640625" style="13" bestFit="1" customWidth="1"/>
    <col min="17" max="17" width="11.44140625" style="13" customWidth="1"/>
    <col min="18" max="18" width="11" style="13" bestFit="1" customWidth="1"/>
    <col min="19" max="19" width="11.44140625" style="13" customWidth="1"/>
    <col min="20" max="20" width="11.6640625" style="13" bestFit="1" customWidth="1"/>
    <col min="21" max="21" width="11.44140625" style="13" customWidth="1"/>
    <col min="22" max="22" width="11.44140625" style="13" bestFit="1" customWidth="1"/>
    <col min="23" max="23" width="11.6640625" style="13" bestFit="1" customWidth="1"/>
    <col min="24" max="24" width="12.109375" style="13" bestFit="1" customWidth="1"/>
    <col min="25" max="25" width="11.6640625" style="13" bestFit="1" customWidth="1"/>
    <col min="26" max="26" width="11" style="13" bestFit="1" customWidth="1"/>
    <col min="27" max="27" width="11.44140625" style="13" bestFit="1" customWidth="1"/>
    <col min="28" max="28" width="11.6640625" style="13" bestFit="1" customWidth="1"/>
    <col min="29" max="29" width="8.88671875" style="13"/>
    <col min="30" max="30" width="9.6640625" style="13" bestFit="1" customWidth="1"/>
    <col min="31" max="16384" width="8.88671875" style="13"/>
  </cols>
  <sheetData>
    <row r="1" spans="1:30" ht="28.8" x14ac:dyDescent="0.55000000000000004">
      <c r="A1" s="349" t="str">
        <f>IF(Inputs!$E$14="Semi-annual",(Inputs!$E$9&amp;" - Semi-annual Income Statement (Reported)"),(Inputs!$E$9&amp;" - Qtrly Income Statement (Reported)"))</f>
        <v>Air Canada - Qtrly Income Statement (Reported)</v>
      </c>
      <c r="B1" s="349"/>
      <c r="C1" s="349"/>
      <c r="D1" s="349"/>
      <c r="E1" s="349"/>
      <c r="F1" s="349"/>
      <c r="G1" s="349"/>
      <c r="H1" s="349"/>
      <c r="I1" s="349"/>
      <c r="J1" s="349"/>
      <c r="K1" s="349"/>
      <c r="L1" s="349"/>
      <c r="M1" s="349"/>
      <c r="N1" s="349"/>
      <c r="O1" s="349"/>
      <c r="P1" s="349"/>
      <c r="Q1" s="349"/>
      <c r="R1" s="349"/>
      <c r="S1" s="349"/>
      <c r="T1" s="349"/>
      <c r="U1" s="69"/>
      <c r="V1" s="69"/>
      <c r="W1" s="69"/>
      <c r="X1" s="69"/>
      <c r="Y1" s="69"/>
      <c r="Z1" s="69"/>
    </row>
    <row r="2" spans="1:30" x14ac:dyDescent="0.3">
      <c r="A2" s="3"/>
      <c r="B2" s="3" t="str">
        <f>'Interim Operational Data'!B2</f>
        <v>Q1</v>
      </c>
      <c r="C2" s="3" t="str">
        <f>'Interim Operational Data'!C2</f>
        <v>Q2</v>
      </c>
      <c r="D2" s="3" t="str">
        <f>'Interim Operational Data'!D2</f>
        <v>Q3</v>
      </c>
      <c r="E2" s="3" t="str">
        <f>'Interim Operational Data'!E2</f>
        <v>Q4</v>
      </c>
      <c r="F2" s="3" t="str">
        <f>'Interim Operational Data'!F2</f>
        <v>Q1</v>
      </c>
      <c r="G2" s="3" t="str">
        <f>'Interim Operational Data'!G2</f>
        <v>Q2</v>
      </c>
      <c r="H2" s="3" t="str">
        <f>'Interim Operational Data'!H2</f>
        <v>Q3</v>
      </c>
      <c r="I2" s="3" t="str">
        <f>'Interim Operational Data'!I2</f>
        <v>Q4</v>
      </c>
      <c r="J2" s="3" t="str">
        <f>'Interim Operational Data'!J2</f>
        <v>Q1</v>
      </c>
      <c r="K2" s="3" t="str">
        <f>'Interim Operational Data'!K2</f>
        <v>Q2</v>
      </c>
      <c r="L2" s="3" t="str">
        <f>'Interim Operational Data'!L2</f>
        <v>Q3</v>
      </c>
      <c r="M2" s="3" t="str">
        <f>'Interim Operational Data'!M2</f>
        <v>Q4</v>
      </c>
      <c r="N2" s="3" t="str">
        <f>'Interim Operational Data'!N2</f>
        <v>Q1</v>
      </c>
      <c r="O2" s="3" t="str">
        <f>'Interim Operational Data'!O2</f>
        <v>Q2</v>
      </c>
      <c r="P2" s="3" t="str">
        <f>'Interim Operational Data'!P2</f>
        <v>Q3</v>
      </c>
      <c r="Q2" s="3" t="str">
        <f>'Interim Operational Data'!Q2</f>
        <v>Q4</v>
      </c>
      <c r="R2" s="3" t="str">
        <f>'Interim Operational Data'!R2</f>
        <v>Q1</v>
      </c>
      <c r="S2" s="3" t="str">
        <f>'Interim Operational Data'!S2</f>
        <v>Q2</v>
      </c>
      <c r="T2" s="3" t="str">
        <f>'Interim Operational Data'!T2</f>
        <v>Q3</v>
      </c>
      <c r="U2" s="3" t="str">
        <f>'Interim Operational Data'!U2</f>
        <v>Q4</v>
      </c>
      <c r="V2" s="3" t="str">
        <f>'Interim Operational Data'!V2</f>
        <v>Q1</v>
      </c>
      <c r="W2" s="3" t="str">
        <f>'Interim Operational Data'!W2</f>
        <v>Q2</v>
      </c>
      <c r="X2" s="3" t="str">
        <f>'Interim Operational Data'!X2</f>
        <v>Q3</v>
      </c>
      <c r="Y2" s="3" t="str">
        <f>'Interim Operational Data'!Y2</f>
        <v>Q4</v>
      </c>
      <c r="Z2" s="3" t="str">
        <f>'Interim Operational Data'!Z2</f>
        <v>Q1</v>
      </c>
      <c r="AA2" s="3" t="str">
        <f>'Interim Operational Data'!AA2</f>
        <v>Q2</v>
      </c>
      <c r="AB2" s="3" t="str">
        <f>'Interim Operational Data'!AB2</f>
        <v>Q3</v>
      </c>
    </row>
    <row r="3" spans="1:30" x14ac:dyDescent="0.3">
      <c r="A3" s="3"/>
      <c r="B3" s="67">
        <f>'Interim Operational Data'!B3</f>
        <v>42094</v>
      </c>
      <c r="C3" s="67">
        <f>'Interim Operational Data'!C3</f>
        <v>42185</v>
      </c>
      <c r="D3" s="67">
        <f>'Interim Operational Data'!D3</f>
        <v>42277</v>
      </c>
      <c r="E3" s="67">
        <f>'Interim Operational Data'!E3</f>
        <v>42369</v>
      </c>
      <c r="F3" s="67">
        <f>'Interim Operational Data'!F3</f>
        <v>42460</v>
      </c>
      <c r="G3" s="67">
        <f>'Interim Operational Data'!G3</f>
        <v>42551</v>
      </c>
      <c r="H3" s="67">
        <f>'Interim Operational Data'!H3</f>
        <v>42643</v>
      </c>
      <c r="I3" s="67">
        <f>'Interim Operational Data'!I3</f>
        <v>42735</v>
      </c>
      <c r="J3" s="67">
        <f>'Interim Operational Data'!J3</f>
        <v>42825</v>
      </c>
      <c r="K3" s="67">
        <f>'Interim Operational Data'!K3</f>
        <v>42916</v>
      </c>
      <c r="L3" s="67">
        <f>'Interim Operational Data'!L3</f>
        <v>43008</v>
      </c>
      <c r="M3" s="67">
        <f>'Interim Operational Data'!M3</f>
        <v>43100</v>
      </c>
      <c r="N3" s="67">
        <f>'Interim Operational Data'!N3</f>
        <v>43190</v>
      </c>
      <c r="O3" s="67">
        <f>'Interim Operational Data'!O3</f>
        <v>43281</v>
      </c>
      <c r="P3" s="67">
        <f>'Interim Operational Data'!P3</f>
        <v>43373</v>
      </c>
      <c r="Q3" s="67">
        <f>'Interim Operational Data'!Q3</f>
        <v>43465</v>
      </c>
      <c r="R3" s="67">
        <f>'Interim Operational Data'!R3</f>
        <v>43555</v>
      </c>
      <c r="S3" s="67">
        <f>'Interim Operational Data'!S3</f>
        <v>43646</v>
      </c>
      <c r="T3" s="67">
        <f>'Interim Operational Data'!T3</f>
        <v>43738</v>
      </c>
      <c r="U3" s="67">
        <f>'Interim Operational Data'!U3</f>
        <v>43830</v>
      </c>
      <c r="V3" s="67">
        <f>'Interim Operational Data'!V3</f>
        <v>43921</v>
      </c>
      <c r="W3" s="67">
        <f>'Interim Operational Data'!W3</f>
        <v>44012</v>
      </c>
      <c r="X3" s="67">
        <f>'Interim Operational Data'!X3</f>
        <v>44104</v>
      </c>
      <c r="Y3" s="67">
        <f>'Interim Operational Data'!Y3</f>
        <v>44196</v>
      </c>
      <c r="Z3" s="67">
        <f>'Interim Operational Data'!Z3</f>
        <v>44286</v>
      </c>
      <c r="AA3" s="67">
        <f>'Interim Operational Data'!AA3</f>
        <v>44377</v>
      </c>
      <c r="AB3" s="67">
        <f>'Interim Operational Data'!AB3</f>
        <v>44469</v>
      </c>
    </row>
    <row r="4" spans="1:30" x14ac:dyDescent="0.3">
      <c r="A4" s="3"/>
      <c r="B4" s="66" t="s">
        <v>1</v>
      </c>
      <c r="C4" s="66" t="s">
        <v>1</v>
      </c>
      <c r="D4" s="66" t="s">
        <v>1</v>
      </c>
      <c r="E4" s="66" t="s">
        <v>1</v>
      </c>
      <c r="F4" s="66" t="s">
        <v>1</v>
      </c>
      <c r="G4" s="66" t="s">
        <v>1</v>
      </c>
      <c r="H4" s="66" t="s">
        <v>1</v>
      </c>
      <c r="I4" s="66" t="s">
        <v>1</v>
      </c>
      <c r="J4" s="66" t="s">
        <v>1</v>
      </c>
      <c r="K4" s="66" t="s">
        <v>1</v>
      </c>
      <c r="L4" s="66" t="s">
        <v>1</v>
      </c>
      <c r="M4" s="66" t="s">
        <v>1</v>
      </c>
      <c r="N4" s="66" t="s">
        <v>1</v>
      </c>
      <c r="O4" s="66" t="s">
        <v>1</v>
      </c>
      <c r="P4" s="66" t="s">
        <v>1</v>
      </c>
      <c r="Q4" s="66" t="s">
        <v>1</v>
      </c>
      <c r="R4" s="66" t="s">
        <v>1</v>
      </c>
      <c r="S4" s="66" t="s">
        <v>1</v>
      </c>
      <c r="T4" s="66" t="s">
        <v>1</v>
      </c>
      <c r="U4" s="66" t="s">
        <v>1</v>
      </c>
      <c r="V4" s="66" t="s">
        <v>1</v>
      </c>
      <c r="W4" s="66" t="s">
        <v>1</v>
      </c>
      <c r="X4" s="66" t="s">
        <v>1</v>
      </c>
      <c r="Y4" s="66" t="s">
        <v>1</v>
      </c>
      <c r="Z4" s="66" t="s">
        <v>1</v>
      </c>
      <c r="AA4" s="66" t="s">
        <v>1</v>
      </c>
      <c r="AB4" s="66" t="s">
        <v>1</v>
      </c>
    </row>
    <row r="5" spans="1:30" x14ac:dyDescent="0.3">
      <c r="A5" s="3"/>
      <c r="B5" s="66" t="str">
        <f>Inputs!$E$18 &amp; "m"</f>
        <v>CADm</v>
      </c>
      <c r="C5" s="66" t="str">
        <f>Inputs!$E$18 &amp; "m"</f>
        <v>CADm</v>
      </c>
      <c r="D5" s="66" t="str">
        <f>Inputs!$E$18 &amp; "m"</f>
        <v>CADm</v>
      </c>
      <c r="E5" s="66" t="str">
        <f>Inputs!$E$18 &amp; "m"</f>
        <v>CADm</v>
      </c>
      <c r="F5" s="66" t="str">
        <f>Inputs!$E$18 &amp; "m"</f>
        <v>CADm</v>
      </c>
      <c r="G5" s="66" t="str">
        <f>Inputs!$E$18 &amp; "m"</f>
        <v>CADm</v>
      </c>
      <c r="H5" s="66" t="str">
        <f>Inputs!$E$18 &amp; "m"</f>
        <v>CADm</v>
      </c>
      <c r="I5" s="66" t="str">
        <f>Inputs!$E$18 &amp; "m"</f>
        <v>CADm</v>
      </c>
      <c r="J5" s="66" t="str">
        <f>Inputs!$E$18 &amp; "m"</f>
        <v>CADm</v>
      </c>
      <c r="K5" s="66" t="str">
        <f>Inputs!$E$18 &amp; "m"</f>
        <v>CADm</v>
      </c>
      <c r="L5" s="66" t="str">
        <f>Inputs!$E$18 &amp; "m"</f>
        <v>CADm</v>
      </c>
      <c r="M5" s="66" t="str">
        <f>Inputs!$E$18 &amp; "m"</f>
        <v>CADm</v>
      </c>
      <c r="N5" s="66" t="str">
        <f>Inputs!$E$18 &amp; "m"</f>
        <v>CADm</v>
      </c>
      <c r="O5" s="66" t="str">
        <f>Inputs!$E$18 &amp; "m"</f>
        <v>CADm</v>
      </c>
      <c r="P5" s="66" t="str">
        <f>Inputs!$E$18 &amp; "m"</f>
        <v>CADm</v>
      </c>
      <c r="Q5" s="66" t="str">
        <f>Inputs!$E$18 &amp; "m"</f>
        <v>CADm</v>
      </c>
      <c r="R5" s="66" t="str">
        <f>Inputs!$E$18 &amp; "m"</f>
        <v>CADm</v>
      </c>
      <c r="S5" s="66" t="str">
        <f>Inputs!$E$18 &amp; "m"</f>
        <v>CADm</v>
      </c>
      <c r="T5" s="66" t="str">
        <f>Inputs!$E$18 &amp; "m"</f>
        <v>CADm</v>
      </c>
      <c r="U5" s="66" t="str">
        <f>Inputs!$E$18 &amp; "m"</f>
        <v>CADm</v>
      </c>
      <c r="V5" s="66" t="str">
        <f>Inputs!$E$18 &amp; "m"</f>
        <v>CADm</v>
      </c>
      <c r="W5" s="66" t="str">
        <f>Inputs!$E$18 &amp; "m"</f>
        <v>CADm</v>
      </c>
      <c r="X5" s="66" t="str">
        <f>Inputs!$E$18 &amp; "m"</f>
        <v>CADm</v>
      </c>
      <c r="Y5" s="66" t="str">
        <f>Inputs!$E$18 &amp; "m"</f>
        <v>CADm</v>
      </c>
      <c r="Z5" s="66" t="str">
        <f>Inputs!$E$18 &amp; "m"</f>
        <v>CADm</v>
      </c>
      <c r="AA5" s="66" t="str">
        <f>Inputs!$E$18 &amp; "m"</f>
        <v>CADm</v>
      </c>
      <c r="AB5" s="66" t="str">
        <f>Inputs!$E$18 &amp; "m"</f>
        <v>CADm</v>
      </c>
    </row>
    <row r="6" spans="1:30" x14ac:dyDescent="0.3">
      <c r="A6" s="3"/>
      <c r="B6" s="66"/>
      <c r="C6" s="66"/>
      <c r="D6" s="66"/>
      <c r="E6" s="66"/>
      <c r="F6" s="66"/>
      <c r="G6" s="66"/>
      <c r="H6" s="66"/>
      <c r="I6" s="66"/>
      <c r="J6" s="66"/>
      <c r="K6" s="66"/>
      <c r="L6" s="66"/>
      <c r="M6" s="66"/>
      <c r="N6" s="66"/>
      <c r="O6" s="66"/>
      <c r="P6" s="66"/>
      <c r="Q6" s="66"/>
      <c r="R6" s="66"/>
      <c r="S6" s="66"/>
      <c r="T6" s="66"/>
      <c r="U6" s="66"/>
      <c r="V6" s="66"/>
      <c r="W6" s="66"/>
      <c r="X6" s="66"/>
      <c r="Y6" s="66"/>
      <c r="Z6" s="66"/>
      <c r="AA6" s="66"/>
      <c r="AB6" s="66"/>
    </row>
    <row r="7" spans="1:30" x14ac:dyDescent="0.3">
      <c r="A7" s="3"/>
      <c r="B7" s="68"/>
      <c r="C7" s="68"/>
      <c r="D7" s="68"/>
      <c r="E7" s="68"/>
      <c r="F7" s="68"/>
      <c r="G7" s="68"/>
      <c r="H7" s="68"/>
      <c r="I7" s="68"/>
      <c r="J7" s="68"/>
      <c r="K7" s="68"/>
      <c r="L7" s="68"/>
      <c r="M7" s="68"/>
      <c r="N7" s="68"/>
      <c r="O7" s="68"/>
      <c r="P7" s="68"/>
      <c r="Q7" s="68"/>
      <c r="R7" s="68"/>
      <c r="S7" s="68"/>
      <c r="T7" s="68"/>
      <c r="U7" s="68"/>
      <c r="V7" s="68"/>
      <c r="W7" s="68"/>
      <c r="X7" s="68"/>
      <c r="Y7" s="68"/>
      <c r="Z7" s="68"/>
      <c r="AA7" s="68"/>
      <c r="AB7" s="68"/>
    </row>
    <row r="8" spans="1:30" x14ac:dyDescent="0.3">
      <c r="A8" s="85" t="s">
        <v>615</v>
      </c>
      <c r="B8" s="32">
        <v>2786</v>
      </c>
      <c r="C8" s="32">
        <v>3082</v>
      </c>
      <c r="D8" s="32">
        <v>3716</v>
      </c>
      <c r="E8" s="32">
        <v>2836</v>
      </c>
      <c r="F8" s="32">
        <v>2864</v>
      </c>
      <c r="G8" s="32">
        <v>3143</v>
      </c>
      <c r="H8" s="32">
        <v>4106</v>
      </c>
      <c r="I8" s="32">
        <v>3035</v>
      </c>
      <c r="J8" s="32">
        <v>3095</v>
      </c>
      <c r="K8" s="32">
        <v>3517</v>
      </c>
      <c r="L8" s="32">
        <v>4478</v>
      </c>
      <c r="M8" s="32">
        <v>3381</v>
      </c>
      <c r="N8" s="32">
        <v>3489</v>
      </c>
      <c r="O8" s="32">
        <v>3921</v>
      </c>
      <c r="P8" s="32">
        <f>5018</f>
        <v>5018</v>
      </c>
      <c r="Q8" s="32">
        <v>3795</v>
      </c>
      <c r="R8" s="32">
        <v>3816</v>
      </c>
      <c r="S8" s="32">
        <v>4338</v>
      </c>
      <c r="T8" s="32">
        <v>5164</v>
      </c>
      <c r="U8" s="32">
        <f>'Annual Inc Statement Reported'!K8-T8-S8-R8</f>
        <v>3914</v>
      </c>
      <c r="V8" s="32">
        <v>3193</v>
      </c>
      <c r="W8" s="32">
        <v>207</v>
      </c>
      <c r="X8" s="32">
        <v>507</v>
      </c>
      <c r="Y8" s="32">
        <f>'Annual Inc Statement Reported'!L8-SUM('Interim Inc Statement Reported'!V8:X8)</f>
        <v>475</v>
      </c>
      <c r="Z8" s="32">
        <v>395</v>
      </c>
      <c r="AA8" s="32">
        <v>426</v>
      </c>
      <c r="AB8" s="32">
        <v>1636</v>
      </c>
    </row>
    <row r="9" spans="1:30" x14ac:dyDescent="0.3">
      <c r="A9" s="85" t="s">
        <v>614</v>
      </c>
      <c r="B9" s="32"/>
      <c r="C9" s="32"/>
      <c r="D9" s="32"/>
      <c r="E9" s="32"/>
      <c r="F9" s="32"/>
      <c r="G9" s="32"/>
      <c r="H9" s="32"/>
      <c r="I9" s="32"/>
      <c r="J9" s="32"/>
      <c r="K9" s="32"/>
      <c r="L9" s="32"/>
      <c r="M9" s="32"/>
      <c r="N9" s="32"/>
      <c r="O9" s="32"/>
      <c r="P9" s="32"/>
      <c r="Q9" s="32"/>
      <c r="R9" s="32"/>
      <c r="S9" s="32"/>
      <c r="T9" s="32"/>
      <c r="U9" s="32">
        <f>'Annual Inc Statement Reported'!K9-T9-S9-R9</f>
        <v>0</v>
      </c>
      <c r="V9" s="32"/>
      <c r="W9" s="32"/>
      <c r="X9" s="32"/>
      <c r="Y9" s="32"/>
      <c r="Z9" s="32"/>
      <c r="AA9" s="32"/>
      <c r="AB9" s="32"/>
    </row>
    <row r="10" spans="1:30" x14ac:dyDescent="0.3">
      <c r="A10" s="31" t="s">
        <v>12</v>
      </c>
      <c r="B10" s="32">
        <v>129</v>
      </c>
      <c r="C10" s="32">
        <v>123</v>
      </c>
      <c r="D10" s="32">
        <v>119</v>
      </c>
      <c r="E10" s="32">
        <v>135</v>
      </c>
      <c r="F10" s="32">
        <v>116</v>
      </c>
      <c r="G10" s="32">
        <v>111</v>
      </c>
      <c r="H10" s="32">
        <v>130</v>
      </c>
      <c r="I10" s="32">
        <v>155</v>
      </c>
      <c r="J10" s="32">
        <v>134</v>
      </c>
      <c r="K10" s="32">
        <v>154</v>
      </c>
      <c r="L10" s="32">
        <v>179</v>
      </c>
      <c r="M10" s="32">
        <v>183</v>
      </c>
      <c r="N10" s="32">
        <v>168</v>
      </c>
      <c r="O10" s="32">
        <v>200</v>
      </c>
      <c r="P10" s="32">
        <f>218</f>
        <v>218</v>
      </c>
      <c r="Q10" s="32">
        <v>217</v>
      </c>
      <c r="R10" s="32">
        <v>177</v>
      </c>
      <c r="S10" s="32">
        <v>177</v>
      </c>
      <c r="T10" s="32">
        <v>177</v>
      </c>
      <c r="U10" s="32">
        <f>'Annual Inc Statement Reported'!K10-T10-S10-R10</f>
        <v>186</v>
      </c>
      <c r="V10" s="32">
        <v>149</v>
      </c>
      <c r="W10" s="32">
        <v>269</v>
      </c>
      <c r="X10" s="32">
        <v>216</v>
      </c>
      <c r="Y10" s="32">
        <f>'Annual Inc Statement Reported'!L10-SUM('Interim Inc Statement Reported'!V10:X10)</f>
        <v>286</v>
      </c>
      <c r="Z10" s="32">
        <v>281</v>
      </c>
      <c r="AA10" s="32">
        <v>358</v>
      </c>
      <c r="AB10" s="32">
        <v>366</v>
      </c>
    </row>
    <row r="11" spans="1:30" x14ac:dyDescent="0.3">
      <c r="A11" s="31" t="s">
        <v>13</v>
      </c>
      <c r="B11" s="32">
        <v>334</v>
      </c>
      <c r="C11" s="32">
        <v>209</v>
      </c>
      <c r="D11" s="32">
        <v>188</v>
      </c>
      <c r="E11" s="32">
        <v>211</v>
      </c>
      <c r="F11" s="32">
        <v>363</v>
      </c>
      <c r="G11" s="32">
        <v>204</v>
      </c>
      <c r="H11" s="32">
        <v>215</v>
      </c>
      <c r="I11" s="32">
        <v>235</v>
      </c>
      <c r="J11" s="32">
        <v>413</v>
      </c>
      <c r="K11" s="32">
        <v>239</v>
      </c>
      <c r="L11" s="32">
        <v>223</v>
      </c>
      <c r="M11" s="32">
        <v>256</v>
      </c>
      <c r="N11" s="32">
        <v>414</v>
      </c>
      <c r="O11" s="32">
        <v>212</v>
      </c>
      <c r="P11" s="32">
        <f>179</f>
        <v>179</v>
      </c>
      <c r="Q11" s="32">
        <v>234</v>
      </c>
      <c r="R11" s="32">
        <v>460</v>
      </c>
      <c r="S11" s="32">
        <v>242</v>
      </c>
      <c r="T11" s="32">
        <v>212</v>
      </c>
      <c r="U11" s="32">
        <f>'Annual Inc Statement Reported'!K11-T11-S11-R11</f>
        <v>268</v>
      </c>
      <c r="V11" s="32">
        <v>380</v>
      </c>
      <c r="W11" s="32">
        <v>51</v>
      </c>
      <c r="X11" s="32">
        <v>34</v>
      </c>
      <c r="Y11" s="32">
        <f>'Annual Inc Statement Reported'!L11-SUM('Interim Inc Statement Reported'!V11:X11)</f>
        <v>66</v>
      </c>
      <c r="Z11" s="32">
        <v>53</v>
      </c>
      <c r="AA11" s="32">
        <v>53</v>
      </c>
      <c r="AB11" s="32">
        <v>101</v>
      </c>
    </row>
    <row r="12" spans="1:30" x14ac:dyDescent="0.3">
      <c r="A12" s="48" t="s">
        <v>5</v>
      </c>
      <c r="B12" s="49">
        <f>B10+B11</f>
        <v>463</v>
      </c>
      <c r="C12" s="49">
        <f>C10+C11</f>
        <v>332</v>
      </c>
      <c r="D12" s="49">
        <f>D10+D11</f>
        <v>307</v>
      </c>
      <c r="E12" s="49">
        <f>E10+E11</f>
        <v>346</v>
      </c>
      <c r="F12" s="49">
        <f t="shared" ref="F12:J12" si="0">F10+F11</f>
        <v>479</v>
      </c>
      <c r="G12" s="49">
        <f t="shared" si="0"/>
        <v>315</v>
      </c>
      <c r="H12" s="49">
        <f t="shared" si="0"/>
        <v>345</v>
      </c>
      <c r="I12" s="49">
        <f t="shared" si="0"/>
        <v>390</v>
      </c>
      <c r="J12" s="49">
        <f t="shared" si="0"/>
        <v>547</v>
      </c>
      <c r="K12" s="49">
        <f>K10+K11</f>
        <v>393</v>
      </c>
      <c r="L12" s="49">
        <f t="shared" ref="L12:O12" si="1">L10+L11</f>
        <v>402</v>
      </c>
      <c r="M12" s="49">
        <f t="shared" si="1"/>
        <v>439</v>
      </c>
      <c r="N12" s="49">
        <f t="shared" si="1"/>
        <v>582</v>
      </c>
      <c r="O12" s="49">
        <f t="shared" si="1"/>
        <v>412</v>
      </c>
      <c r="P12" s="49">
        <f t="shared" ref="P12:R12" si="2">P10+P11</f>
        <v>397</v>
      </c>
      <c r="Q12" s="49">
        <f t="shared" si="2"/>
        <v>451</v>
      </c>
      <c r="R12" s="49">
        <f t="shared" si="2"/>
        <v>637</v>
      </c>
      <c r="S12" s="49">
        <f t="shared" ref="S12:T12" si="3">S10+S11</f>
        <v>419</v>
      </c>
      <c r="T12" s="49">
        <f t="shared" si="3"/>
        <v>389</v>
      </c>
      <c r="U12" s="49">
        <f t="shared" ref="U12:Y12" si="4">U10+U11</f>
        <v>454</v>
      </c>
      <c r="V12" s="49">
        <f t="shared" si="4"/>
        <v>529</v>
      </c>
      <c r="W12" s="49">
        <f t="shared" si="4"/>
        <v>320</v>
      </c>
      <c r="X12" s="49">
        <f t="shared" si="4"/>
        <v>250</v>
      </c>
      <c r="Y12" s="49">
        <f t="shared" si="4"/>
        <v>352</v>
      </c>
      <c r="Z12" s="49">
        <f t="shared" ref="Z12:AA12" si="5">Z10+Z11</f>
        <v>334</v>
      </c>
      <c r="AA12" s="49">
        <f t="shared" si="5"/>
        <v>411</v>
      </c>
      <c r="AB12" s="49">
        <f t="shared" ref="AB12" si="6">AB10+AB11</f>
        <v>467</v>
      </c>
    </row>
    <row r="13" spans="1:30" x14ac:dyDescent="0.3">
      <c r="A13" s="14" t="s">
        <v>14</v>
      </c>
      <c r="B13" s="22">
        <f t="shared" ref="B13:R13" si="7">SUM(B8:B11)</f>
        <v>3249</v>
      </c>
      <c r="C13" s="22">
        <f t="shared" si="7"/>
        <v>3414</v>
      </c>
      <c r="D13" s="22">
        <f t="shared" si="7"/>
        <v>4023</v>
      </c>
      <c r="E13" s="22">
        <f t="shared" si="7"/>
        <v>3182</v>
      </c>
      <c r="F13" s="22">
        <f t="shared" si="7"/>
        <v>3343</v>
      </c>
      <c r="G13" s="22">
        <f t="shared" si="7"/>
        <v>3458</v>
      </c>
      <c r="H13" s="22">
        <f t="shared" si="7"/>
        <v>4451</v>
      </c>
      <c r="I13" s="22">
        <f t="shared" si="7"/>
        <v>3425</v>
      </c>
      <c r="J13" s="22">
        <f t="shared" si="7"/>
        <v>3642</v>
      </c>
      <c r="K13" s="22">
        <f t="shared" si="7"/>
        <v>3910</v>
      </c>
      <c r="L13" s="22">
        <f t="shared" si="7"/>
        <v>4880</v>
      </c>
      <c r="M13" s="22">
        <f t="shared" si="7"/>
        <v>3820</v>
      </c>
      <c r="N13" s="22">
        <f t="shared" si="7"/>
        <v>4071</v>
      </c>
      <c r="O13" s="22">
        <f t="shared" si="7"/>
        <v>4333</v>
      </c>
      <c r="P13" s="22">
        <f t="shared" si="7"/>
        <v>5415</v>
      </c>
      <c r="Q13" s="22">
        <f t="shared" si="7"/>
        <v>4246</v>
      </c>
      <c r="R13" s="22">
        <f t="shared" si="7"/>
        <v>4453</v>
      </c>
      <c r="S13" s="22">
        <f t="shared" ref="S13:T13" si="8">SUM(S8:S11)</f>
        <v>4757</v>
      </c>
      <c r="T13" s="22">
        <f t="shared" si="8"/>
        <v>5553</v>
      </c>
      <c r="U13" s="22">
        <f t="shared" ref="U13:Y13" si="9">SUM(U8:U11)</f>
        <v>4368</v>
      </c>
      <c r="V13" s="22">
        <f t="shared" si="9"/>
        <v>3722</v>
      </c>
      <c r="W13" s="22">
        <f t="shared" si="9"/>
        <v>527</v>
      </c>
      <c r="X13" s="22">
        <f t="shared" si="9"/>
        <v>757</v>
      </c>
      <c r="Y13" s="22">
        <f t="shared" si="9"/>
        <v>827</v>
      </c>
      <c r="Z13" s="22">
        <f t="shared" ref="Z13:AA13" si="10">SUM(Z8:Z11)</f>
        <v>729</v>
      </c>
      <c r="AA13" s="22">
        <f t="shared" si="10"/>
        <v>837</v>
      </c>
      <c r="AB13" s="22">
        <f t="shared" ref="AB13" si="11">SUM(AB8:AB11)</f>
        <v>2103</v>
      </c>
      <c r="AC13" s="267">
        <f>AB13/AA13-1</f>
        <v>1.5125448028673834</v>
      </c>
      <c r="AD13" s="267">
        <f>AB13/T13-1</f>
        <v>-0.62128579146407348</v>
      </c>
    </row>
    <row r="14" spans="1:30" x14ac:dyDescent="0.3">
      <c r="A14" s="31" t="s">
        <v>0</v>
      </c>
      <c r="B14" s="2"/>
      <c r="C14" s="2" t="str">
        <f ca="1">IFERROR(IF(Inputs!$E$14 = "Semi-annual",(C13/OFFSET(C13,0,-2,,))-1,(C13/OFFSET(C13,0,-4,,))-1),"")</f>
        <v/>
      </c>
      <c r="D14" s="2" t="str">
        <f ca="1">IFERROR(IF(Inputs!$E$14 = "Semi-annual",(D13/OFFSET(D13,0,-2,,))-1,(D13/OFFSET(D13,0,-4,,))-1),"")</f>
        <v/>
      </c>
      <c r="E14" s="2" t="str">
        <f ca="1">IFERROR(IF(Inputs!$E$14 = "Semi-annual",(E13/OFFSET(E13,0,-2,,))-1,(E13/OFFSET(E13,0,-4,,))-1),"")</f>
        <v/>
      </c>
      <c r="F14" s="2">
        <f ca="1">IFERROR(IF(Inputs!$E$14 = "Semi-annual",(F13/OFFSET(F13,0,-2,,))-1,(F13/OFFSET(F13,0,-4,,))-1),"")</f>
        <v>2.8931979070483171E-2</v>
      </c>
      <c r="G14" s="2">
        <f ca="1">IFERROR(IF(Inputs!$E$14 = "Semi-annual",(G13/OFFSET(G13,0,-2,,))-1,(G13/OFFSET(G13,0,-4,,))-1),"")</f>
        <v>1.288810779144689E-2</v>
      </c>
      <c r="H14" s="2">
        <f ca="1">IFERROR(IF(Inputs!$E$14 = "Semi-annual",(H13/OFFSET(H13,0,-2,,))-1,(H13/OFFSET(H13,0,-4,,))-1),"")</f>
        <v>0.10638826746209307</v>
      </c>
      <c r="I14" s="2">
        <f ca="1">IFERROR(IF(Inputs!$E$14 = "Semi-annual",(I13/OFFSET(I13,0,-2,,))-1,(I13/OFFSET(I13,0,-4,,))-1),"")</f>
        <v>7.6367064739157664E-2</v>
      </c>
      <c r="J14" s="2">
        <f ca="1">IFERROR(IF(Inputs!$E$14 = "Semi-annual",(J13/OFFSET(J13,0,-2,,))-1,(J13/OFFSET(J13,0,-4,,))-1),"")</f>
        <v>8.9440622195632757E-2</v>
      </c>
      <c r="K14" s="2">
        <f ca="1">IFERROR(IF(Inputs!$E$14 = "Semi-annual",(K13/OFFSET(K13,0,-2,,))-1,(K13/OFFSET(K13,0,-4,,))-1),"")</f>
        <v>0.13071139386928854</v>
      </c>
      <c r="L14" s="2">
        <f ca="1">IFERROR(IF(Inputs!$E$14 = "Semi-annual",(L13/OFFSET(L13,0,-2,,))-1,(L13/OFFSET(L13,0,-4,,))-1),"")</f>
        <v>9.6382835317906146E-2</v>
      </c>
      <c r="M14" s="2">
        <f ca="1">IFERROR(IF(Inputs!$E$14 = "Semi-annual",(M13/OFFSET(M13,0,-2,,))-1,(M13/OFFSET(M13,0,-4,,))-1),"")</f>
        <v>0.1153284671532846</v>
      </c>
      <c r="N14" s="2">
        <f ca="1">IFERROR(IF(Inputs!$E$14 = "Semi-annual",(N13/OFFSET(N13,0,-2,,))-1,(N13/OFFSET(N13,0,-4,,))-1),"")</f>
        <v>0.11779242174629334</v>
      </c>
      <c r="O14" s="2">
        <f ca="1">IFERROR(IF(Inputs!$E$14 = "Semi-annual",(O13/OFFSET(O13,0,-2,,))-1,(O13/OFFSET(O13,0,-4,,))-1),"")</f>
        <v>0.10818414322250636</v>
      </c>
      <c r="P14" s="2">
        <f ca="1">IFERROR(IF(Inputs!$E$14 = "Semi-annual",(P13/OFFSET(P13,0,-2,,))-1,(P13/OFFSET(P13,0,-4,,))-1),"")</f>
        <v>0.10963114754098369</v>
      </c>
      <c r="Q14" s="2">
        <f ca="1">IFERROR(IF(Inputs!$E$14 = "Semi-annual",(Q13/OFFSET(Q13,0,-2,,))-1,(Q13/OFFSET(Q13,0,-4,,))-1),"")</f>
        <v>0.11151832460732991</v>
      </c>
      <c r="R14" s="2">
        <f ca="1">IFERROR(IF(Inputs!$E$14 = "Semi-annual",(R13/OFFSET(R13,0,-2,,))-1,(R13/OFFSET(R13,0,-4,,))-1),"")</f>
        <v>9.3834438712846913E-2</v>
      </c>
      <c r="S14" s="2">
        <f ca="1">IFERROR(IF(Inputs!$E$14 = "Semi-annual",(S13/OFFSET(S13,0,-2,,))-1,(S13/OFFSET(S13,0,-4,,))-1),"")</f>
        <v>9.7853681052388675E-2</v>
      </c>
      <c r="T14" s="2">
        <f ca="1">IFERROR(IF(Inputs!$E$14 = "Semi-annual",(T13/OFFSET(T13,0,-2,,))-1,(T13/OFFSET(T13,0,-4,,))-1),"")</f>
        <v>2.5484764542936356E-2</v>
      </c>
      <c r="U14" s="2">
        <f ca="1">IFERROR(IF(Inputs!$E$14 = "Semi-annual",(U13/OFFSET(U13,0,-2,,))-1,(U13/OFFSET(U13,0,-4,,))-1),"")</f>
        <v>2.8732925105982021E-2</v>
      </c>
      <c r="V14" s="2">
        <f ca="1">IFERROR(IF(Inputs!$E$14 = "Semi-annual",(V13/OFFSET(V13,0,-2,,))-1,(V13/OFFSET(V13,0,-4,,))-1),"")</f>
        <v>-0.16415899393667188</v>
      </c>
      <c r="W14" s="2">
        <f ca="1">IFERROR(IF(Inputs!$E$14 = "Semi-annual",(W13/OFFSET(W13,0,-2,,))-1,(W13/OFFSET(W13,0,-4,,))-1),"")</f>
        <v>-0.88921589236914023</v>
      </c>
      <c r="X14" s="2">
        <f ca="1">IFERROR(IF(Inputs!$E$14 = "Semi-annual",(X13/OFFSET(X13,0,-2,,))-1,(X13/OFFSET(X13,0,-4,,))-1),"")</f>
        <v>-0.86367729155411488</v>
      </c>
      <c r="Y14" s="2">
        <f ca="1">IFERROR(IF(Inputs!$E$14 = "Semi-annual",(Y13/OFFSET(Y13,0,-2,,))-1,(Y13/OFFSET(Y13,0,-4,,))-1),"")</f>
        <v>-0.81066849816849818</v>
      </c>
      <c r="Z14" s="2">
        <f ca="1">IFERROR(IF(Inputs!$E$14 = "Semi-annual",(Z13/OFFSET(Z13,0,-2,,))-1,(Z13/OFFSET(Z13,0,-4,,))-1),"")</f>
        <v>-0.80413756045137019</v>
      </c>
      <c r="AA14" s="2">
        <f ca="1">IFERROR(IF(Inputs!$E$14 = "Semi-annual",(AA13/OFFSET(AA13,0,-2,,))-1,(AA13/OFFSET(AA13,0,-4,,))-1),"")</f>
        <v>0.58823529411764697</v>
      </c>
      <c r="AB14" s="2">
        <f ca="1">IFERROR(IF(Inputs!$E$14 = "Semi-annual",(AB13/OFFSET(AB13,0,-2,,))-1,(AB13/OFFSET(AB13,0,-4,,))-1),"")</f>
        <v>1.7780713342140024</v>
      </c>
    </row>
    <row r="15" spans="1:30" x14ac:dyDescent="0.3">
      <c r="A15" s="31" t="s">
        <v>15</v>
      </c>
      <c r="B15" s="32">
        <v>-568</v>
      </c>
      <c r="C15" s="32">
        <v>-568</v>
      </c>
      <c r="D15" s="32">
        <v>-598</v>
      </c>
      <c r="E15" s="32">
        <f>'Annual Inc Statement Reported'!G15-SUM('Interim Inc Statement Reported'!B15:D15)</f>
        <v>-590</v>
      </c>
      <c r="F15" s="32">
        <v>-608</v>
      </c>
      <c r="G15" s="32">
        <v>-611</v>
      </c>
      <c r="H15" s="32">
        <v>-658</v>
      </c>
      <c r="I15" s="32">
        <f>'Annual Inc Statement Reported'!H15-SUM('Interim Inc Statement Reported'!F15:H15)</f>
        <v>-633</v>
      </c>
      <c r="J15" s="32">
        <v>-644</v>
      </c>
      <c r="K15" s="32">
        <v>-663</v>
      </c>
      <c r="L15" s="32">
        <v>-662</v>
      </c>
      <c r="M15" s="32">
        <v>-702</v>
      </c>
      <c r="N15" s="32">
        <v>-700</v>
      </c>
      <c r="O15" s="32">
        <v>-711</v>
      </c>
      <c r="P15" s="32">
        <v>-743</v>
      </c>
      <c r="Q15" s="32">
        <v>-719</v>
      </c>
      <c r="R15" s="32">
        <v>-799</v>
      </c>
      <c r="S15" s="32">
        <v>-781</v>
      </c>
      <c r="T15" s="32">
        <v>-788</v>
      </c>
      <c r="U15" s="32">
        <f>'Annual Inc Statement Reported'!K15-T15-S15-R15</f>
        <v>-816</v>
      </c>
      <c r="V15" s="32">
        <v>-796</v>
      </c>
      <c r="W15" s="32">
        <f>-464+202-112</f>
        <v>-374</v>
      </c>
      <c r="X15" s="32">
        <f>-475+189</f>
        <v>-286</v>
      </c>
      <c r="Y15" s="32">
        <f>'Annual Inc Statement Reported'!L15-SUM('Interim Inc Statement Reported'!V15:X15)</f>
        <v>-359</v>
      </c>
      <c r="Z15" s="32">
        <f>-528+163-2</f>
        <v>-367</v>
      </c>
      <c r="AA15" s="32">
        <f>-497-157-68+158</f>
        <v>-564</v>
      </c>
      <c r="AB15" s="32">
        <f>-592-4-8+103</f>
        <v>-501</v>
      </c>
      <c r="AC15" s="267">
        <f>AB15/AA15-1</f>
        <v>-0.11170212765957444</v>
      </c>
      <c r="AD15" s="267">
        <f>AB15/T15-1</f>
        <v>-0.3642131979695431</v>
      </c>
    </row>
    <row r="16" spans="1:30" x14ac:dyDescent="0.3">
      <c r="A16" s="31" t="s">
        <v>16</v>
      </c>
      <c r="B16" s="32">
        <v>-592</v>
      </c>
      <c r="C16" s="32">
        <v>-648</v>
      </c>
      <c r="D16" s="32">
        <v>-697</v>
      </c>
      <c r="E16" s="32">
        <f>'Annual Inc Statement Reported'!G16-SUM('Interim Inc Statement Reported'!B16:D16)</f>
        <v>-527</v>
      </c>
      <c r="F16" s="32">
        <v>-446</v>
      </c>
      <c r="G16" s="32">
        <v>-527</v>
      </c>
      <c r="H16" s="32">
        <v>-708</v>
      </c>
      <c r="I16" s="32">
        <f>'Annual Inc Statement Reported'!H16-SUM('Interim Inc Statement Reported'!F16:H16)</f>
        <v>-598</v>
      </c>
      <c r="J16" s="32">
        <v>-659</v>
      </c>
      <c r="K16" s="32">
        <v>-701</v>
      </c>
      <c r="L16" s="32">
        <f>-832-109</f>
        <v>-941</v>
      </c>
      <c r="M16" s="32">
        <v>-735</v>
      </c>
      <c r="N16" s="32">
        <v>-825</v>
      </c>
      <c r="O16" s="32">
        <v>-964</v>
      </c>
      <c r="P16" s="32">
        <f>-1222-149</f>
        <v>-1371</v>
      </c>
      <c r="Q16" s="32">
        <v>-809</v>
      </c>
      <c r="R16" s="32">
        <v>-881</v>
      </c>
      <c r="S16" s="32">
        <v>-991</v>
      </c>
      <c r="T16" s="32">
        <v>-1093</v>
      </c>
      <c r="U16" s="32">
        <f>'Annual Inc Statement Reported'!K16-T16-S16-R16</f>
        <v>-897</v>
      </c>
      <c r="V16" s="32">
        <v>-836</v>
      </c>
      <c r="W16" s="32">
        <f>-124</f>
        <v>-124</v>
      </c>
      <c r="X16" s="32">
        <v>-175</v>
      </c>
      <c r="Y16" s="32">
        <f>'Annual Inc Statement Reported'!L16-SUM('Interim Inc Statement Reported'!V16:X16)</f>
        <v>-187</v>
      </c>
      <c r="Z16" s="32">
        <v>-200</v>
      </c>
      <c r="AA16" s="32">
        <f>-239</f>
        <v>-239</v>
      </c>
      <c r="AB16" s="32">
        <f>-472</f>
        <v>-472</v>
      </c>
      <c r="AC16" s="267">
        <f t="shared" ref="AC16:AC19" si="12">AB16/AA16-1</f>
        <v>0.97489539748953979</v>
      </c>
      <c r="AD16" s="267">
        <f t="shared" ref="AD16:AD19" si="13">AB16/T16-1</f>
        <v>-0.56816102470265317</v>
      </c>
    </row>
    <row r="17" spans="1:30" x14ac:dyDescent="0.3">
      <c r="A17" s="31" t="s">
        <v>17</v>
      </c>
      <c r="B17" s="32">
        <v>-188</v>
      </c>
      <c r="C17" s="32">
        <v>-190</v>
      </c>
      <c r="D17" s="32">
        <v>-192</v>
      </c>
      <c r="E17" s="32">
        <f>'Annual Inc Statement Reported'!G17-SUM('Interim Inc Statement Reported'!B17:D17)</f>
        <v>-203</v>
      </c>
      <c r="F17" s="32">
        <v>-221</v>
      </c>
      <c r="G17" s="32">
        <v>-239</v>
      </c>
      <c r="H17" s="32">
        <v>-227</v>
      </c>
      <c r="I17" s="32">
        <f>'Annual Inc Statement Reported'!H17-SUM('Interim Inc Statement Reported'!F17:H17)</f>
        <v>-193</v>
      </c>
      <c r="J17" s="32">
        <v>-228</v>
      </c>
      <c r="K17" s="32">
        <v>-226</v>
      </c>
      <c r="L17" s="32">
        <v>-241</v>
      </c>
      <c r="M17" s="32">
        <v>-243</v>
      </c>
      <c r="N17" s="32">
        <v>-256</v>
      </c>
      <c r="O17" s="32">
        <v>-220</v>
      </c>
      <c r="P17" s="32">
        <v>-277</v>
      </c>
      <c r="Q17" s="32">
        <v>-250</v>
      </c>
      <c r="R17" s="32">
        <v>-245</v>
      </c>
      <c r="S17" s="32">
        <v>-255</v>
      </c>
      <c r="T17" s="32">
        <v>-254</v>
      </c>
      <c r="U17" s="32">
        <f>'Annual Inc Statement Reported'!K17-T17-S17-R17</f>
        <v>-250</v>
      </c>
      <c r="V17" s="32">
        <v>-270</v>
      </c>
      <c r="W17" s="32">
        <v>-181</v>
      </c>
      <c r="X17" s="32">
        <f>-45</f>
        <v>-45</v>
      </c>
      <c r="Y17" s="32">
        <f>'Annual Inc Statement Reported'!L17-SUM('Interim Inc Statement Reported'!V17:X17)</f>
        <v>-185</v>
      </c>
      <c r="Z17" s="32">
        <v>-150</v>
      </c>
      <c r="AA17" s="32">
        <v>-127</v>
      </c>
      <c r="AB17" s="32">
        <v>-153</v>
      </c>
      <c r="AC17" s="267">
        <f t="shared" si="12"/>
        <v>0.20472440944881898</v>
      </c>
      <c r="AD17" s="267">
        <f t="shared" si="13"/>
        <v>-0.39763779527559051</v>
      </c>
    </row>
    <row r="18" spans="1:30" x14ac:dyDescent="0.3">
      <c r="A18" s="31" t="s">
        <v>18</v>
      </c>
      <c r="B18" s="32">
        <f>-185-181-62</f>
        <v>-428</v>
      </c>
      <c r="C18" s="32">
        <f>-201-52-284</f>
        <v>-537</v>
      </c>
      <c r="D18" s="32">
        <f>-223-52-297</f>
        <v>-572</v>
      </c>
      <c r="E18" s="32">
        <f>'Annual Inc Statement Reported'!G18-SUM('Interim Inc Statement Reported'!B18:D18)</f>
        <v>6</v>
      </c>
      <c r="F18" s="32">
        <f>-198-67-296</f>
        <v>-561</v>
      </c>
      <c r="G18" s="32">
        <f>-211-86-85</f>
        <v>-382</v>
      </c>
      <c r="H18" s="32">
        <f>-247-104-72</f>
        <v>-423</v>
      </c>
      <c r="I18" s="32">
        <f>'Annual Inc Statement Reported'!H18-SUM('Interim Inc Statement Reported'!F18:H18)</f>
        <v>-331</v>
      </c>
      <c r="J18" s="32">
        <f>-210-256-85</f>
        <v>-551</v>
      </c>
      <c r="K18" s="32">
        <f>-230-103-97</f>
        <v>-430</v>
      </c>
      <c r="L18" s="32">
        <f>-264-73-112</f>
        <v>-449</v>
      </c>
      <c r="M18" s="32">
        <v>-396</v>
      </c>
      <c r="N18" s="32">
        <f>-221-276-96</f>
        <v>-593</v>
      </c>
      <c r="O18" s="32">
        <f>-237-114-108</f>
        <v>-459</v>
      </c>
      <c r="P18" s="32">
        <f>-281-86-125</f>
        <v>-492</v>
      </c>
      <c r="Q18" s="32">
        <v>-455</v>
      </c>
      <c r="R18" s="32">
        <f>-228-294-103</f>
        <v>-625</v>
      </c>
      <c r="S18" s="32">
        <f>-248-116-112</f>
        <v>-476</v>
      </c>
      <c r="T18" s="32">
        <f>-284-86-125</f>
        <v>-495</v>
      </c>
      <c r="U18" s="32">
        <f>'Annual Inc Statement Reported'!K18-T18-S18-R18</f>
        <v>-466</v>
      </c>
      <c r="V18" s="32">
        <f>-228-234-97</f>
        <v>-559</v>
      </c>
      <c r="W18" s="32">
        <f>-113+3-23-91</f>
        <v>-224</v>
      </c>
      <c r="X18" s="32">
        <f>-97-5-26</f>
        <v>-128</v>
      </c>
      <c r="Y18" s="32">
        <f>'Annual Inc Statement Reported'!L18-SUM('Interim Inc Statement Reported'!V18:X18)</f>
        <v>-55</v>
      </c>
      <c r="Z18" s="32">
        <f>-98-5</f>
        <v>-103</v>
      </c>
      <c r="AA18" s="32">
        <f>-109</f>
        <v>-109</v>
      </c>
      <c r="AB18" s="32">
        <f>-166-23-52</f>
        <v>-241</v>
      </c>
      <c r="AC18" s="267">
        <f t="shared" si="12"/>
        <v>1.2110091743119265</v>
      </c>
      <c r="AD18" s="267">
        <f t="shared" si="13"/>
        <v>-0.5131313131313131</v>
      </c>
    </row>
    <row r="19" spans="1:30" x14ac:dyDescent="0.3">
      <c r="A19" s="31" t="s">
        <v>19</v>
      </c>
      <c r="B19" s="32">
        <v>-154</v>
      </c>
      <c r="C19" s="32">
        <v>-152</v>
      </c>
      <c r="D19" s="32">
        <v>-157</v>
      </c>
      <c r="E19" s="32">
        <f>'Annual Inc Statement Reported'!G19-SUM('Interim Inc Statement Reported'!B19:D19)</f>
        <v>-145</v>
      </c>
      <c r="F19" s="32">
        <v>-182</v>
      </c>
      <c r="G19" s="32">
        <v>-170</v>
      </c>
      <c r="H19" s="32">
        <v>-179</v>
      </c>
      <c r="I19" s="32">
        <f>'Annual Inc Statement Reported'!H19-SUM('Interim Inc Statement Reported'!F19:H19)</f>
        <v>-172</v>
      </c>
      <c r="J19" s="32">
        <v>-205</v>
      </c>
      <c r="K19" s="32">
        <v>-199</v>
      </c>
      <c r="L19" s="32">
        <v>-204</v>
      </c>
      <c r="M19" s="32">
        <v>-169</v>
      </c>
      <c r="N19" s="32">
        <v>-189</v>
      </c>
      <c r="O19" s="32">
        <v>-199</v>
      </c>
      <c r="P19" s="32">
        <v>-237</v>
      </c>
      <c r="Q19" s="32">
        <v>-182</v>
      </c>
      <c r="R19" s="32">
        <v>-213</v>
      </c>
      <c r="S19" s="32">
        <v>-219</v>
      </c>
      <c r="T19" s="32">
        <v>-248</v>
      </c>
      <c r="U19" s="32">
        <f>'Annual Inc Statement Reported'!K19-T19-S19-R19</f>
        <v>-194</v>
      </c>
      <c r="V19" s="32">
        <f>-183</f>
        <v>-183</v>
      </c>
      <c r="W19" s="32">
        <f>-13</f>
        <v>-13</v>
      </c>
      <c r="X19" s="32">
        <f>-30</f>
        <v>-30</v>
      </c>
      <c r="Y19" s="32">
        <f>'Annual Inc Statement Reported'!L19-SUM('Interim Inc Statement Reported'!V19:X19)</f>
        <v>-26</v>
      </c>
      <c r="Z19" s="32">
        <v>-24</v>
      </c>
      <c r="AA19" s="32">
        <f>-44</f>
        <v>-44</v>
      </c>
      <c r="AB19" s="32">
        <v>-74</v>
      </c>
      <c r="AC19" s="267">
        <f t="shared" si="12"/>
        <v>0.68181818181818188</v>
      </c>
      <c r="AD19" s="267">
        <f t="shared" si="13"/>
        <v>-0.70161290322580649</v>
      </c>
    </row>
    <row r="20" spans="1:30" x14ac:dyDescent="0.3">
      <c r="A20" s="31" t="s">
        <v>20</v>
      </c>
      <c r="B20" s="21">
        <f>SUM(B21:B23)</f>
        <v>-884</v>
      </c>
      <c r="C20" s="21">
        <f>SUM(C21:C23)</f>
        <v>-758</v>
      </c>
      <c r="D20" s="21">
        <f>SUM(D21:D23)</f>
        <v>-738</v>
      </c>
      <c r="E20" s="21">
        <f t="shared" ref="E20:J20" si="14">SUM(E21:E23)</f>
        <v>-1276</v>
      </c>
      <c r="F20" s="21">
        <f t="shared" si="14"/>
        <v>-877</v>
      </c>
      <c r="G20" s="21">
        <f t="shared" si="14"/>
        <v>-938</v>
      </c>
      <c r="H20" s="21">
        <f t="shared" si="14"/>
        <v>-1022</v>
      </c>
      <c r="I20" s="21">
        <f t="shared" si="14"/>
        <v>-1057</v>
      </c>
      <c r="J20" s="21">
        <f t="shared" si="14"/>
        <v>-1029</v>
      </c>
      <c r="K20" s="21">
        <f>SUM(K21:K23)</f>
        <v>-1038</v>
      </c>
      <c r="L20" s="21">
        <f t="shared" ref="L20:O20" si="15">SUM(L21:L23)</f>
        <v>-985</v>
      </c>
      <c r="M20" s="21">
        <f t="shared" si="15"/>
        <v>-1071</v>
      </c>
      <c r="N20" s="21">
        <f t="shared" si="15"/>
        <v>-1130</v>
      </c>
      <c r="O20" s="21">
        <f t="shared" si="15"/>
        <v>-1153</v>
      </c>
      <c r="P20" s="21">
        <f t="shared" ref="P20:R20" si="16">SUM(P21:P23)</f>
        <v>-1050</v>
      </c>
      <c r="Q20" s="21">
        <f t="shared" si="16"/>
        <v>-1309</v>
      </c>
      <c r="R20" s="21">
        <f t="shared" si="16"/>
        <v>-1107</v>
      </c>
      <c r="S20" s="21">
        <f t="shared" ref="S20:U20" si="17">SUM(S21:S23)</f>
        <v>-1119</v>
      </c>
      <c r="T20" s="21">
        <f t="shared" si="17"/>
        <v>-1203</v>
      </c>
      <c r="U20" s="21">
        <f t="shared" si="17"/>
        <v>-1080</v>
      </c>
      <c r="V20" s="21">
        <f t="shared" ref="V20:Y20" si="18">SUM(V21:V23)</f>
        <v>-1007</v>
      </c>
      <c r="W20" s="21">
        <f t="shared" si="18"/>
        <v>-353</v>
      </c>
      <c r="X20" s="21">
        <f t="shared" si="18"/>
        <v>-458</v>
      </c>
      <c r="Y20" s="21">
        <f t="shared" si="18"/>
        <v>-595</v>
      </c>
      <c r="Z20" s="21">
        <f t="shared" ref="Z20:AA20" si="19">SUM(Z21:Z23)</f>
        <v>-501</v>
      </c>
      <c r="AA20" s="21">
        <f t="shared" si="19"/>
        <v>-477</v>
      </c>
      <c r="AB20" s="21">
        <f t="shared" ref="AB20" si="20">SUM(AB21:AB23)</f>
        <v>-638</v>
      </c>
    </row>
    <row r="21" spans="1:30" x14ac:dyDescent="0.3">
      <c r="A21" s="31" t="s">
        <v>21</v>
      </c>
      <c r="B21" s="32"/>
      <c r="C21" s="32"/>
      <c r="D21" s="32"/>
      <c r="E21" s="32"/>
      <c r="F21" s="32"/>
      <c r="G21" s="32"/>
      <c r="H21" s="32"/>
      <c r="I21" s="32">
        <v>0</v>
      </c>
      <c r="J21" s="32"/>
      <c r="K21" s="32"/>
      <c r="L21" s="32"/>
      <c r="M21" s="32"/>
      <c r="N21" s="32"/>
      <c r="O21" s="32"/>
      <c r="P21" s="32"/>
      <c r="Q21" s="32"/>
      <c r="R21" s="32"/>
      <c r="S21" s="32"/>
      <c r="T21" s="32"/>
      <c r="U21" s="32">
        <f>'Annual Inc Statement Reported'!K21-T21-S21-R21</f>
        <v>0</v>
      </c>
      <c r="V21" s="32"/>
      <c r="W21" s="32"/>
      <c r="X21" s="32"/>
      <c r="Y21" s="32"/>
      <c r="Z21" s="32"/>
      <c r="AA21" s="32"/>
      <c r="AB21" s="32"/>
    </row>
    <row r="22" spans="1:30" x14ac:dyDescent="0.3">
      <c r="A22" s="31" t="s">
        <v>22</v>
      </c>
      <c r="B22" s="32">
        <v>-552</v>
      </c>
      <c r="C22" s="32">
        <v>-594</v>
      </c>
      <c r="D22" s="32">
        <v>-584</v>
      </c>
      <c r="E22" s="32">
        <f>'Annual Inc Statement Reported'!G22-SUM('Interim Inc Statement Reported'!B22:D22)</f>
        <v>-549</v>
      </c>
      <c r="F22" s="32">
        <v>-569</v>
      </c>
      <c r="G22" s="32">
        <v>-578</v>
      </c>
      <c r="H22" s="32">
        <v>-639</v>
      </c>
      <c r="I22" s="32">
        <f>'Annual Inc Statement Reported'!H22-SUM('Interim Inc Statement Reported'!F22:H22)</f>
        <v>-622</v>
      </c>
      <c r="J22" s="32">
        <v>-632</v>
      </c>
      <c r="K22" s="32">
        <v>-648</v>
      </c>
      <c r="L22" s="32">
        <v>-553</v>
      </c>
      <c r="M22" s="32">
        <v>-647</v>
      </c>
      <c r="N22" s="32">
        <v>-675</v>
      </c>
      <c r="O22" s="32">
        <v>-742</v>
      </c>
      <c r="P22" s="32">
        <v>-568</v>
      </c>
      <c r="Q22" s="32">
        <v>-857</v>
      </c>
      <c r="R22" s="32">
        <v>-594</v>
      </c>
      <c r="S22" s="32">
        <v>-604</v>
      </c>
      <c r="T22" s="32">
        <v>-632</v>
      </c>
      <c r="U22" s="32">
        <f>'Annual Inc Statement Reported'!K22-T22-S22-R22</f>
        <v>-611</v>
      </c>
      <c r="V22" s="32">
        <v>-471</v>
      </c>
      <c r="W22" s="32">
        <v>-172</v>
      </c>
      <c r="X22" s="32">
        <v>-198</v>
      </c>
      <c r="Y22" s="32">
        <f>'Annual Inc Statement Reported'!L22-SUM('Interim Inc Statement Reported'!V22:X22)</f>
        <v>-245</v>
      </c>
      <c r="Z22" s="32">
        <v>-195</v>
      </c>
      <c r="AA22" s="32">
        <v>-193</v>
      </c>
      <c r="AB22" s="32">
        <v>-312</v>
      </c>
    </row>
    <row r="23" spans="1:30" x14ac:dyDescent="0.3">
      <c r="A23" s="31" t="s">
        <v>23</v>
      </c>
      <c r="B23" s="36">
        <f>-275-57</f>
        <v>-332</v>
      </c>
      <c r="C23" s="36">
        <f>-84-80</f>
        <v>-164</v>
      </c>
      <c r="D23" s="36">
        <f>-63-91</f>
        <v>-154</v>
      </c>
      <c r="E23" s="36">
        <f>'Annual Inc Statement Reported'!G23-SUM('Interim Inc Statement Reported'!B23:D23)</f>
        <v>-727</v>
      </c>
      <c r="F23" s="36">
        <f>-231-77</f>
        <v>-308</v>
      </c>
      <c r="G23" s="36">
        <f>-301-59</f>
        <v>-360</v>
      </c>
      <c r="H23" s="36">
        <f>-327-56</f>
        <v>-383</v>
      </c>
      <c r="I23" s="36">
        <f>'Annual Inc Statement Reported'!H23-SUM('Interim Inc Statement Reported'!F23:H23)</f>
        <v>-435</v>
      </c>
      <c r="J23" s="36">
        <f>-326-71</f>
        <v>-397</v>
      </c>
      <c r="K23" s="36">
        <f>-332-58</f>
        <v>-390</v>
      </c>
      <c r="L23" s="36">
        <f>-369-63</f>
        <v>-432</v>
      </c>
      <c r="M23" s="36">
        <v>-424</v>
      </c>
      <c r="N23" s="36">
        <f>-376-79</f>
        <v>-455</v>
      </c>
      <c r="O23" s="36">
        <f>-344-67</f>
        <v>-411</v>
      </c>
      <c r="P23" s="36">
        <f>-79-403</f>
        <v>-482</v>
      </c>
      <c r="Q23" s="36">
        <v>-452</v>
      </c>
      <c r="R23" s="36">
        <f>-101-412</f>
        <v>-513</v>
      </c>
      <c r="S23" s="36">
        <f>-424-91</f>
        <v>-515</v>
      </c>
      <c r="T23" s="36">
        <f>-475-96</f>
        <v>-571</v>
      </c>
      <c r="U23" s="36">
        <f>'Annual Inc Statement Reported'!K23-T23-S23-R23</f>
        <v>-469</v>
      </c>
      <c r="V23" s="36">
        <f>-401-135</f>
        <v>-536</v>
      </c>
      <c r="W23" s="36">
        <f>-181</f>
        <v>-181</v>
      </c>
      <c r="X23" s="36">
        <f>-66-194</f>
        <v>-260</v>
      </c>
      <c r="Y23" s="36">
        <f>'Annual Inc Statement Reported'!L23-SUM('Interim Inc Statement Reported'!V23:X23)</f>
        <v>-350</v>
      </c>
      <c r="Z23" s="36">
        <f>-14-21-105-166</f>
        <v>-306</v>
      </c>
      <c r="AA23" s="36">
        <f>-1-21-81-181</f>
        <v>-284</v>
      </c>
      <c r="AB23" s="36">
        <f>-85-241</f>
        <v>-326</v>
      </c>
    </row>
    <row r="24" spans="1:30" x14ac:dyDescent="0.3">
      <c r="A24" s="14" t="s">
        <v>24</v>
      </c>
      <c r="B24" s="22">
        <f>SUM(B15:B20)</f>
        <v>-2814</v>
      </c>
      <c r="C24" s="22">
        <f>SUM(C15:C20)</f>
        <v>-2853</v>
      </c>
      <c r="D24" s="22">
        <f>SUM(D15:D20)</f>
        <v>-2954</v>
      </c>
      <c r="E24" s="22">
        <f t="shared" ref="E24:J24" si="21">SUM(E15:E20)</f>
        <v>-2735</v>
      </c>
      <c r="F24" s="22">
        <f t="shared" si="21"/>
        <v>-2895</v>
      </c>
      <c r="G24" s="22">
        <f t="shared" si="21"/>
        <v>-2867</v>
      </c>
      <c r="H24" s="22">
        <f t="shared" si="21"/>
        <v>-3217</v>
      </c>
      <c r="I24" s="22">
        <f>SUM(I15:I20)</f>
        <v>-2984</v>
      </c>
      <c r="J24" s="22">
        <f t="shared" si="21"/>
        <v>-3316</v>
      </c>
      <c r="K24" s="22">
        <f>SUM(K15:K20)</f>
        <v>-3257</v>
      </c>
      <c r="L24" s="22">
        <f t="shared" ref="L24:O24" si="22">SUM(L15:L20)</f>
        <v>-3482</v>
      </c>
      <c r="M24" s="22">
        <f t="shared" si="22"/>
        <v>-3316</v>
      </c>
      <c r="N24" s="22">
        <f t="shared" si="22"/>
        <v>-3693</v>
      </c>
      <c r="O24" s="22">
        <f t="shared" si="22"/>
        <v>-3706</v>
      </c>
      <c r="P24" s="22">
        <f t="shared" ref="P24:R24" si="23">SUM(P15:P20)</f>
        <v>-4170</v>
      </c>
      <c r="Q24" s="22">
        <f t="shared" si="23"/>
        <v>-3724</v>
      </c>
      <c r="R24" s="22">
        <f t="shared" si="23"/>
        <v>-3870</v>
      </c>
      <c r="S24" s="22">
        <f t="shared" ref="S24:T24" si="24">SUM(S15:S20)</f>
        <v>-3841</v>
      </c>
      <c r="T24" s="22">
        <f t="shared" si="24"/>
        <v>-4081</v>
      </c>
      <c r="U24" s="22">
        <f t="shared" ref="U24:Y24" si="25">SUM(U15:U20)</f>
        <v>-3703</v>
      </c>
      <c r="V24" s="22">
        <f t="shared" si="25"/>
        <v>-3651</v>
      </c>
      <c r="W24" s="22">
        <f t="shared" si="25"/>
        <v>-1269</v>
      </c>
      <c r="X24" s="22">
        <f t="shared" si="25"/>
        <v>-1122</v>
      </c>
      <c r="Y24" s="22">
        <f t="shared" si="25"/>
        <v>-1407</v>
      </c>
      <c r="Z24" s="22">
        <f t="shared" ref="Z24:AA24" si="26">SUM(Z15:Z20)</f>
        <v>-1345</v>
      </c>
      <c r="AA24" s="22">
        <f t="shared" si="26"/>
        <v>-1560</v>
      </c>
      <c r="AB24" s="22">
        <f t="shared" ref="AB24" si="27">SUM(AB15:AB20)</f>
        <v>-2079</v>
      </c>
    </row>
    <row r="25" spans="1:30" x14ac:dyDescent="0.3">
      <c r="A25" s="31" t="s">
        <v>0</v>
      </c>
      <c r="B25" s="50"/>
      <c r="C25" s="50" t="str">
        <f ca="1">IFERROR(IF(Inputs!$E$14 = "Semi-annual",(C24/OFFSET(C24,0,-2,,))-1,(C24/OFFSET(C24,0,-4,,))-1),"")</f>
        <v/>
      </c>
      <c r="D25" s="50" t="str">
        <f ca="1">IFERROR(IF(Inputs!$E$14 = "Semi-annual",(D24/OFFSET(D24,0,-2,,))-1,(D24/OFFSET(D24,0,-4,,))-1),"")</f>
        <v/>
      </c>
      <c r="E25" s="50" t="str">
        <f ca="1">IFERROR(IF(Inputs!$E$14 = "Semi-annual",(E24/OFFSET(E24,0,-2,,))-1,(E24/OFFSET(E24,0,-4,,))-1),"")</f>
        <v/>
      </c>
      <c r="F25" s="50">
        <f ca="1">IFERROR(IF(Inputs!$E$14 = "Semi-annual",(F24/OFFSET(F24,0,-2,,))-1,(F24/OFFSET(F24,0,-4,,))-1),"")</f>
        <v>2.8784648187633266E-2</v>
      </c>
      <c r="G25" s="50">
        <f ca="1">IFERROR(IF(Inputs!$E$14 = "Semi-annual",(G24/OFFSET(G24,0,-2,,))-1,(G24/OFFSET(G24,0,-4,,))-1),"")</f>
        <v>4.9071153172099979E-3</v>
      </c>
      <c r="H25" s="50">
        <f ca="1">IFERROR(IF(Inputs!$E$14 = "Semi-annual",(H24/OFFSET(H24,0,-2,,))-1,(H24/OFFSET(H24,0,-4,,))-1),"")</f>
        <v>8.9031821259309307E-2</v>
      </c>
      <c r="I25" s="50">
        <f ca="1">IFERROR(IF(Inputs!$E$14 = "Semi-annual",(I24/OFFSET(I24,0,-2,,))-1,(I24/OFFSET(I24,0,-4,,))-1),"")</f>
        <v>9.1042047531992631E-2</v>
      </c>
      <c r="J25" s="50">
        <f ca="1">IFERROR(IF(Inputs!$E$14 = "Semi-annual",(J24/OFFSET(J24,0,-2,,))-1,(J24/OFFSET(J24,0,-4,,))-1),"")</f>
        <v>0.14542314335060458</v>
      </c>
      <c r="K25" s="50">
        <f ca="1">IFERROR(IF(Inputs!$E$14 = "Semi-annual",(K24/OFFSET(K24,0,-2,,))-1,(K24/OFFSET(K24,0,-4,,))-1),"")</f>
        <v>0.13603069410533664</v>
      </c>
      <c r="L25" s="50">
        <f ca="1">IFERROR(IF(Inputs!$E$14 = "Semi-annual",(L24/OFFSET(L24,0,-2,,))-1,(L24/OFFSET(L24,0,-4,,))-1),"")</f>
        <v>8.2374883431768797E-2</v>
      </c>
      <c r="M25" s="50">
        <f ca="1">IFERROR(IF(Inputs!$E$14 = "Semi-annual",(M24/OFFSET(M24,0,-2,,))-1,(M24/OFFSET(M24,0,-4,,))-1),"")</f>
        <v>0.11126005361930291</v>
      </c>
      <c r="N25" s="50">
        <f ca="1">IFERROR(IF(Inputs!$E$14 = "Semi-annual",(N24/OFFSET(N24,0,-2,,))-1,(N24/OFFSET(N24,0,-4,,))-1),"")</f>
        <v>0.11369119420989149</v>
      </c>
      <c r="O25" s="50">
        <f ca="1">IFERROR(IF(Inputs!$E$14 = "Semi-annual",(O24/OFFSET(O24,0,-2,,))-1,(O24/OFFSET(O24,0,-4,,))-1),"")</f>
        <v>0.13785692354927859</v>
      </c>
      <c r="P25" s="50">
        <f ca="1">IFERROR(IF(Inputs!$E$14 = "Semi-annual",(P24/OFFSET(P24,0,-2,,))-1,(P24/OFFSET(P24,0,-4,,))-1),"")</f>
        <v>0.19758759333716247</v>
      </c>
      <c r="Q25" s="50">
        <f ca="1">IFERROR(IF(Inputs!$E$14 = "Semi-annual",(Q24/OFFSET(Q24,0,-2,,))-1,(Q24/OFFSET(Q24,0,-4,,))-1),"")</f>
        <v>0.12303980699638117</v>
      </c>
      <c r="R25" s="50">
        <f ca="1">IFERROR(IF(Inputs!$E$14 = "Semi-annual",(R24/OFFSET(R24,0,-2,,))-1,(R24/OFFSET(R24,0,-4,,))-1),"")</f>
        <v>4.7928513403736828E-2</v>
      </c>
      <c r="S25" s="50">
        <f ca="1">IFERROR(IF(Inputs!$E$14 = "Semi-annual",(S24/OFFSET(S24,0,-2,,))-1,(S24/OFFSET(S24,0,-4,,))-1),"")</f>
        <v>3.6427415002698416E-2</v>
      </c>
      <c r="T25" s="50">
        <f ca="1">IFERROR(IF(Inputs!$E$14 = "Semi-annual",(T24/OFFSET(T24,0,-2,,))-1,(T24/OFFSET(T24,0,-4,,))-1),"")</f>
        <v>-2.1342925659472378E-2</v>
      </c>
      <c r="U25" s="50">
        <f ca="1">IFERROR(IF(Inputs!$E$14 = "Semi-annual",(U24/OFFSET(U24,0,-2,,))-1,(U24/OFFSET(U24,0,-4,,))-1),"")</f>
        <v>-5.6390977443608881E-3</v>
      </c>
      <c r="V25" s="50">
        <f ca="1">IFERROR(IF(Inputs!$E$14 = "Semi-annual",(V24/OFFSET(V24,0,-2,,))-1,(V24/OFFSET(V24,0,-4,,))-1),"")</f>
        <v>-5.6589147286821739E-2</v>
      </c>
      <c r="W25" s="50">
        <f ca="1">IFERROR(IF(Inputs!$E$14 = "Semi-annual",(W24/OFFSET(W24,0,-2,,))-1,(W24/OFFSET(W24,0,-4,,))-1),"")</f>
        <v>-0.66961728716480085</v>
      </c>
      <c r="X25" s="50">
        <f ca="1">IFERROR(IF(Inputs!$E$14 = "Semi-annual",(X24/OFFSET(X24,0,-2,,))-1,(X24/OFFSET(X24,0,-4,,))-1),"")</f>
        <v>-0.72506738544474392</v>
      </c>
      <c r="Y25" s="50">
        <f ca="1">IFERROR(IF(Inputs!$E$14 = "Semi-annual",(Y24/OFFSET(Y24,0,-2,,))-1,(Y24/OFFSET(Y24,0,-4,,))-1),"")</f>
        <v>-0.62003780718336476</v>
      </c>
      <c r="Z25" s="50">
        <f ca="1">IFERROR(IF(Inputs!$E$14 = "Semi-annual",(Z24/OFFSET(Z24,0,-2,,))-1,(Z24/OFFSET(Z24,0,-4,,))-1),"")</f>
        <v>-0.63160777869076967</v>
      </c>
      <c r="AA25" s="50">
        <f ca="1">IFERROR(IF(Inputs!$E$14 = "Semi-annual",(AA24/OFFSET(AA24,0,-2,,))-1,(AA24/OFFSET(AA24,0,-4,,))-1),"")</f>
        <v>0.2293144208037825</v>
      </c>
      <c r="AB25" s="50">
        <f ca="1">IFERROR(IF(Inputs!$E$14 = "Semi-annual",(AB24/OFFSET(AB24,0,-2,,))-1,(AB24/OFFSET(AB24,0,-4,,))-1),"")</f>
        <v>0.85294117647058831</v>
      </c>
    </row>
    <row r="26" spans="1:30" x14ac:dyDescent="0.3">
      <c r="A26" s="14" t="s">
        <v>25</v>
      </c>
      <c r="B26" s="22">
        <f>B13+B24</f>
        <v>435</v>
      </c>
      <c r="C26" s="22">
        <f>C13+C24</f>
        <v>561</v>
      </c>
      <c r="D26" s="22">
        <f>D13+D24</f>
        <v>1069</v>
      </c>
      <c r="E26" s="22">
        <f t="shared" ref="E26:J26" si="28">E13+E24</f>
        <v>447</v>
      </c>
      <c r="F26" s="22">
        <f t="shared" si="28"/>
        <v>448</v>
      </c>
      <c r="G26" s="22">
        <f t="shared" si="28"/>
        <v>591</v>
      </c>
      <c r="H26" s="22">
        <f t="shared" si="28"/>
        <v>1234</v>
      </c>
      <c r="I26" s="22">
        <f t="shared" si="28"/>
        <v>441</v>
      </c>
      <c r="J26" s="22">
        <f t="shared" si="28"/>
        <v>326</v>
      </c>
      <c r="K26" s="22">
        <f>K13+K24</f>
        <v>653</v>
      </c>
      <c r="L26" s="22">
        <f t="shared" ref="L26:O26" si="29">L13+L24</f>
        <v>1398</v>
      </c>
      <c r="M26" s="22">
        <f t="shared" si="29"/>
        <v>504</v>
      </c>
      <c r="N26" s="22">
        <f t="shared" si="29"/>
        <v>378</v>
      </c>
      <c r="O26" s="22">
        <f t="shared" si="29"/>
        <v>627</v>
      </c>
      <c r="P26" s="22">
        <f t="shared" ref="P26:R26" si="30">P13+P24</f>
        <v>1245</v>
      </c>
      <c r="Q26" s="22">
        <f t="shared" si="30"/>
        <v>522</v>
      </c>
      <c r="R26" s="22">
        <f t="shared" si="30"/>
        <v>583</v>
      </c>
      <c r="S26" s="22">
        <f t="shared" ref="S26:T26" si="31">S13+S24</f>
        <v>916</v>
      </c>
      <c r="T26" s="22">
        <f t="shared" si="31"/>
        <v>1472</v>
      </c>
      <c r="U26" s="22">
        <f t="shared" ref="U26:Y26" si="32">U13+U24</f>
        <v>665</v>
      </c>
      <c r="V26" s="22">
        <f t="shared" si="32"/>
        <v>71</v>
      </c>
      <c r="W26" s="22">
        <f t="shared" si="32"/>
        <v>-742</v>
      </c>
      <c r="X26" s="22">
        <f t="shared" si="32"/>
        <v>-365</v>
      </c>
      <c r="Y26" s="22">
        <f t="shared" si="32"/>
        <v>-580</v>
      </c>
      <c r="Z26" s="22">
        <f t="shared" ref="Z26:AA26" si="33">Z13+Z24</f>
        <v>-616</v>
      </c>
      <c r="AA26" s="22">
        <f t="shared" si="33"/>
        <v>-723</v>
      </c>
      <c r="AB26" s="22">
        <f t="shared" ref="AB26" si="34">AB13+AB24</f>
        <v>24</v>
      </c>
    </row>
    <row r="27" spans="1:30" x14ac:dyDescent="0.3">
      <c r="A27" s="31" t="s">
        <v>26</v>
      </c>
      <c r="B27" s="36">
        <v>-82</v>
      </c>
      <c r="C27" s="36">
        <v>-84</v>
      </c>
      <c r="D27" s="36">
        <v>-89</v>
      </c>
      <c r="E27" s="36">
        <v>-98</v>
      </c>
      <c r="F27" s="36">
        <v>-112</v>
      </c>
      <c r="G27" s="36">
        <v>-112</v>
      </c>
      <c r="H27" s="36">
        <v>-118</v>
      </c>
      <c r="I27" s="36">
        <v>-120</v>
      </c>
      <c r="J27" s="36">
        <v>-122</v>
      </c>
      <c r="K27" s="36">
        <v>-130</v>
      </c>
      <c r="L27" s="36">
        <v>-125</v>
      </c>
      <c r="M27" s="36">
        <v>-126</v>
      </c>
      <c r="N27" s="36">
        <v>-125</v>
      </c>
      <c r="O27" s="36">
        <v>-123</v>
      </c>
      <c r="P27" s="36">
        <v>-137</v>
      </c>
      <c r="Q27" s="36">
        <v>-133</v>
      </c>
      <c r="R27" s="36"/>
      <c r="S27" s="36"/>
      <c r="T27" s="36"/>
      <c r="U27" s="36">
        <f>'Annual Inc Statement Reported'!K27-T27-S27-R27</f>
        <v>0</v>
      </c>
      <c r="V27" s="36"/>
      <c r="W27" s="36"/>
      <c r="X27" s="36"/>
      <c r="Y27" s="36"/>
      <c r="Z27" s="36"/>
      <c r="AA27" s="36"/>
      <c r="AB27" s="36"/>
    </row>
    <row r="28" spans="1:30" x14ac:dyDescent="0.3">
      <c r="A28" s="14" t="s">
        <v>27</v>
      </c>
      <c r="B28" s="22">
        <f t="shared" ref="B28:K28" si="35">B26+B27</f>
        <v>353</v>
      </c>
      <c r="C28" s="22">
        <f t="shared" si="35"/>
        <v>477</v>
      </c>
      <c r="D28" s="22">
        <f t="shared" si="35"/>
        <v>980</v>
      </c>
      <c r="E28" s="22">
        <f t="shared" si="35"/>
        <v>349</v>
      </c>
      <c r="F28" s="22">
        <f t="shared" si="35"/>
        <v>336</v>
      </c>
      <c r="G28" s="22">
        <f t="shared" si="35"/>
        <v>479</v>
      </c>
      <c r="H28" s="22">
        <f t="shared" si="35"/>
        <v>1116</v>
      </c>
      <c r="I28" s="22">
        <f t="shared" si="35"/>
        <v>321</v>
      </c>
      <c r="J28" s="22">
        <f t="shared" si="35"/>
        <v>204</v>
      </c>
      <c r="K28" s="22">
        <f t="shared" si="35"/>
        <v>523</v>
      </c>
      <c r="L28" s="22">
        <f t="shared" ref="L28:O28" si="36">L26+L27</f>
        <v>1273</v>
      </c>
      <c r="M28" s="22">
        <f t="shared" si="36"/>
        <v>378</v>
      </c>
      <c r="N28" s="22">
        <f t="shared" si="36"/>
        <v>253</v>
      </c>
      <c r="O28" s="22">
        <f t="shared" si="36"/>
        <v>504</v>
      </c>
      <c r="P28" s="22">
        <f t="shared" ref="P28:R28" si="37">P26+P27</f>
        <v>1108</v>
      </c>
      <c r="Q28" s="22">
        <f t="shared" si="37"/>
        <v>389</v>
      </c>
      <c r="R28" s="22">
        <f t="shared" si="37"/>
        <v>583</v>
      </c>
      <c r="S28" s="22">
        <f t="shared" ref="S28:U28" si="38">S26+S27</f>
        <v>916</v>
      </c>
      <c r="T28" s="22">
        <f t="shared" si="38"/>
        <v>1472</v>
      </c>
      <c r="U28" s="22">
        <f t="shared" si="38"/>
        <v>665</v>
      </c>
      <c r="V28" s="22">
        <f t="shared" ref="V28:Y28" si="39">V26+V27</f>
        <v>71</v>
      </c>
      <c r="W28" s="22">
        <f t="shared" si="39"/>
        <v>-742</v>
      </c>
      <c r="X28" s="22">
        <f t="shared" si="39"/>
        <v>-365</v>
      </c>
      <c r="Y28" s="22">
        <f t="shared" si="39"/>
        <v>-580</v>
      </c>
      <c r="Z28" s="22">
        <f t="shared" ref="Z28:AA28" si="40">Z26+Z27</f>
        <v>-616</v>
      </c>
      <c r="AA28" s="22">
        <f t="shared" si="40"/>
        <v>-723</v>
      </c>
      <c r="AB28" s="22">
        <f t="shared" ref="AB28" si="41">AB26+AB27</f>
        <v>24</v>
      </c>
      <c r="AD28" s="267">
        <f>AB28/T28-1</f>
        <v>-0.98369565217391308</v>
      </c>
    </row>
    <row r="29" spans="1:30" x14ac:dyDescent="0.3">
      <c r="A29" s="31" t="s">
        <v>28</v>
      </c>
      <c r="B29" s="36">
        <v>-153</v>
      </c>
      <c r="C29" s="36">
        <v>-177</v>
      </c>
      <c r="D29" s="36">
        <v>-165</v>
      </c>
      <c r="E29" s="36">
        <v>-160</v>
      </c>
      <c r="F29" s="36">
        <v>-182</v>
      </c>
      <c r="G29" s="36">
        <v>-202</v>
      </c>
      <c r="H29" s="36">
        <v>-220</v>
      </c>
      <c r="I29" s="36">
        <v>-212</v>
      </c>
      <c r="J29" s="36">
        <v>-228</v>
      </c>
      <c r="K29" s="36">
        <v>-242</v>
      </c>
      <c r="L29" s="36">
        <v>-241</v>
      </c>
      <c r="M29" s="36">
        <v>-245</v>
      </c>
      <c r="N29" s="36">
        <v>-267</v>
      </c>
      <c r="O29" s="36">
        <v>-278</v>
      </c>
      <c r="P29" s="36">
        <v>-268</v>
      </c>
      <c r="Q29" s="36">
        <v>-267</v>
      </c>
      <c r="R29" s="36">
        <v>-456</v>
      </c>
      <c r="S29" s="36">
        <v>-494</v>
      </c>
      <c r="T29" s="36">
        <v>-516</v>
      </c>
      <c r="U29" s="36">
        <f>'Annual Inc Statement Reported'!K29-T29-S29-R29</f>
        <v>-520</v>
      </c>
      <c r="V29" s="36">
        <v>-504</v>
      </c>
      <c r="W29" s="36">
        <v>-487</v>
      </c>
      <c r="X29" s="36">
        <f>-423+3</f>
        <v>-420</v>
      </c>
      <c r="Y29" s="36">
        <f>'Annual Inc Statement Reported'!L29-SUM('Interim Inc Statement Reported'!V29:X29)</f>
        <v>-438</v>
      </c>
      <c r="Z29" s="36">
        <v>-413</v>
      </c>
      <c r="AA29" s="36">
        <v>-404</v>
      </c>
      <c r="AB29" s="36">
        <v>-400</v>
      </c>
    </row>
    <row r="30" spans="1:30" x14ac:dyDescent="0.3">
      <c r="A30" s="14" t="s">
        <v>29</v>
      </c>
      <c r="B30" s="22">
        <f>B28+B29</f>
        <v>200</v>
      </c>
      <c r="C30" s="22">
        <f>C28+C29</f>
        <v>300</v>
      </c>
      <c r="D30" s="22">
        <f>D28+D29</f>
        <v>815</v>
      </c>
      <c r="E30" s="22">
        <f t="shared" ref="E30:J30" si="42">E28+E29</f>
        <v>189</v>
      </c>
      <c r="F30" s="22">
        <f t="shared" si="42"/>
        <v>154</v>
      </c>
      <c r="G30" s="22">
        <f t="shared" si="42"/>
        <v>277</v>
      </c>
      <c r="H30" s="22">
        <f t="shared" si="42"/>
        <v>896</v>
      </c>
      <c r="I30" s="22">
        <f t="shared" si="42"/>
        <v>109</v>
      </c>
      <c r="J30" s="22">
        <f t="shared" si="42"/>
        <v>-24</v>
      </c>
      <c r="K30" s="22">
        <f>K28+K29</f>
        <v>281</v>
      </c>
      <c r="L30" s="22">
        <f t="shared" ref="L30:O30" si="43">L28+L29</f>
        <v>1032</v>
      </c>
      <c r="M30" s="22">
        <f t="shared" si="43"/>
        <v>133</v>
      </c>
      <c r="N30" s="22">
        <f t="shared" si="43"/>
        <v>-14</v>
      </c>
      <c r="O30" s="22">
        <f t="shared" si="43"/>
        <v>226</v>
      </c>
      <c r="P30" s="22">
        <f t="shared" ref="P30:R30" si="44">P28+P29</f>
        <v>840</v>
      </c>
      <c r="Q30" s="22">
        <f t="shared" si="44"/>
        <v>122</v>
      </c>
      <c r="R30" s="22">
        <f t="shared" si="44"/>
        <v>127</v>
      </c>
      <c r="S30" s="22">
        <f t="shared" ref="S30:U30" si="45">S28+S29</f>
        <v>422</v>
      </c>
      <c r="T30" s="22">
        <f t="shared" si="45"/>
        <v>956</v>
      </c>
      <c r="U30" s="22">
        <f t="shared" si="45"/>
        <v>145</v>
      </c>
      <c r="V30" s="22">
        <f t="shared" ref="V30:Y30" si="46">V28+V29</f>
        <v>-433</v>
      </c>
      <c r="W30" s="22">
        <f t="shared" si="46"/>
        <v>-1229</v>
      </c>
      <c r="X30" s="22">
        <f t="shared" si="46"/>
        <v>-785</v>
      </c>
      <c r="Y30" s="22">
        <f t="shared" si="46"/>
        <v>-1018</v>
      </c>
      <c r="Z30" s="22">
        <f t="shared" ref="Z30:AA30" si="47">Z28+Z29</f>
        <v>-1029</v>
      </c>
      <c r="AA30" s="22">
        <f t="shared" si="47"/>
        <v>-1127</v>
      </c>
      <c r="AB30" s="22">
        <f t="shared" ref="AB30" si="48">AB28+AB29</f>
        <v>-376</v>
      </c>
    </row>
    <row r="31" spans="1:30" x14ac:dyDescent="0.3">
      <c r="A31" s="31" t="s">
        <v>30</v>
      </c>
      <c r="B31" s="32"/>
      <c r="C31" s="32"/>
      <c r="D31" s="32"/>
      <c r="E31" s="32">
        <v>0</v>
      </c>
      <c r="F31" s="32"/>
      <c r="G31" s="32"/>
      <c r="H31" s="32"/>
      <c r="I31" s="32">
        <v>0</v>
      </c>
      <c r="J31" s="32"/>
      <c r="K31" s="32"/>
      <c r="L31" s="32"/>
      <c r="M31" s="32"/>
      <c r="N31" s="32"/>
      <c r="O31" s="32"/>
      <c r="P31" s="32"/>
      <c r="Q31" s="32"/>
      <c r="R31" s="32"/>
      <c r="S31" s="32"/>
      <c r="T31" s="32"/>
      <c r="U31" s="32">
        <f>'Annual Inc Statement Reported'!K31-T31-S31-R31</f>
        <v>0</v>
      </c>
      <c r="V31" s="32"/>
      <c r="W31" s="32"/>
      <c r="X31" s="32"/>
      <c r="Y31" s="32">
        <f>'Annual Inc Statement Reported'!L31-SUM('Interim Inc Statement Reported'!V31:X31)</f>
        <v>0</v>
      </c>
      <c r="Z31" s="32"/>
      <c r="AA31" s="32"/>
      <c r="AB31" s="32"/>
    </row>
    <row r="32" spans="1:30" x14ac:dyDescent="0.3">
      <c r="A32" s="31" t="s">
        <v>31</v>
      </c>
      <c r="B32" s="32"/>
      <c r="C32" s="32"/>
      <c r="D32" s="32"/>
      <c r="E32" s="32">
        <v>0</v>
      </c>
      <c r="F32" s="32"/>
      <c r="G32" s="32">
        <v>19</v>
      </c>
      <c r="H32" s="32"/>
      <c r="I32" s="32">
        <v>-19</v>
      </c>
      <c r="J32" s="32"/>
      <c r="K32" s="32">
        <v>26</v>
      </c>
      <c r="L32" s="32"/>
      <c r="M32" s="32">
        <v>26</v>
      </c>
      <c r="N32" s="32">
        <v>0</v>
      </c>
      <c r="O32" s="32">
        <v>-186</v>
      </c>
      <c r="P32" s="32">
        <v>-2</v>
      </c>
      <c r="Q32" s="32"/>
      <c r="R32" s="32"/>
      <c r="S32" s="32"/>
      <c r="T32" s="32"/>
      <c r="U32" s="32">
        <f>'Annual Inc Statement Reported'!K32-T32-S32-R32</f>
        <v>13</v>
      </c>
      <c r="V32" s="32"/>
      <c r="W32" s="32"/>
      <c r="X32" s="32"/>
      <c r="Y32" s="32">
        <f>'Annual Inc Statement Reported'!L32-SUM('Interim Inc Statement Reported'!V32:X32)</f>
        <v>18</v>
      </c>
      <c r="Z32" s="32"/>
      <c r="AA32" s="32"/>
      <c r="AB32" s="32"/>
    </row>
    <row r="33" spans="1:30" x14ac:dyDescent="0.3">
      <c r="A33" s="31" t="s">
        <v>32</v>
      </c>
      <c r="B33" s="32"/>
      <c r="C33" s="32"/>
      <c r="D33" s="32"/>
      <c r="E33" s="32">
        <v>0</v>
      </c>
      <c r="F33" s="32"/>
      <c r="G33" s="32"/>
      <c r="H33" s="32"/>
      <c r="I33" s="32">
        <v>0</v>
      </c>
      <c r="J33" s="32"/>
      <c r="K33" s="32"/>
      <c r="L33" s="32"/>
      <c r="M33" s="32"/>
      <c r="N33" s="32"/>
      <c r="O33" s="32"/>
      <c r="P33" s="32"/>
      <c r="Q33" s="32"/>
      <c r="R33" s="32"/>
      <c r="S33" s="32"/>
      <c r="T33" s="32"/>
      <c r="U33" s="32">
        <f>'Annual Inc Statement Reported'!K33-T33-S33-R33</f>
        <v>0</v>
      </c>
      <c r="V33" s="32"/>
      <c r="W33" s="32"/>
      <c r="X33" s="32"/>
      <c r="Y33" s="32">
        <f>'Annual Inc Statement Reported'!L33-SUM('Interim Inc Statement Reported'!V33:X33)</f>
        <v>0</v>
      </c>
      <c r="Z33" s="32"/>
      <c r="AA33" s="32"/>
      <c r="AB33" s="32"/>
    </row>
    <row r="34" spans="1:30" x14ac:dyDescent="0.3">
      <c r="A34" s="31" t="s">
        <v>33</v>
      </c>
      <c r="B34" s="32"/>
      <c r="C34" s="32"/>
      <c r="D34" s="32"/>
      <c r="E34" s="32">
        <v>0</v>
      </c>
      <c r="F34" s="32"/>
      <c r="G34" s="32"/>
      <c r="H34" s="32"/>
      <c r="I34" s="32">
        <v>0</v>
      </c>
      <c r="J34" s="32"/>
      <c r="K34" s="32"/>
      <c r="L34" s="32"/>
      <c r="M34" s="32"/>
      <c r="N34" s="32"/>
      <c r="O34" s="32"/>
      <c r="P34" s="32"/>
      <c r="Q34" s="32"/>
      <c r="R34" s="32"/>
      <c r="S34" s="32"/>
      <c r="T34" s="32"/>
      <c r="U34" s="32">
        <f>'Annual Inc Statement Reported'!K34-T34-S34-R34</f>
        <v>0</v>
      </c>
      <c r="V34" s="32"/>
      <c r="W34" s="32">
        <f>-330</f>
        <v>-330</v>
      </c>
      <c r="X34" s="32"/>
      <c r="Y34" s="32">
        <f>'Annual Inc Statement Reported'!L34-SUM('Interim Inc Statement Reported'!V34:X34)</f>
        <v>15</v>
      </c>
      <c r="Z34" s="32">
        <v>-20</v>
      </c>
      <c r="AA34" s="32">
        <v>-6</v>
      </c>
      <c r="AB34" s="32">
        <v>12</v>
      </c>
    </row>
    <row r="35" spans="1:30" x14ac:dyDescent="0.3">
      <c r="A35" s="31" t="s">
        <v>34</v>
      </c>
      <c r="B35" s="32"/>
      <c r="C35" s="32"/>
      <c r="D35" s="32"/>
      <c r="E35" s="32">
        <v>-8</v>
      </c>
      <c r="F35" s="32"/>
      <c r="G35" s="32"/>
      <c r="H35" s="32"/>
      <c r="I35" s="32">
        <v>-91</v>
      </c>
      <c r="J35" s="32">
        <v>-30</v>
      </c>
      <c r="K35" s="32"/>
      <c r="L35" s="32"/>
      <c r="M35" s="32">
        <v>30</v>
      </c>
      <c r="N35" s="32"/>
      <c r="O35" s="32"/>
      <c r="P35" s="32"/>
      <c r="Q35" s="32"/>
      <c r="R35" s="32"/>
      <c r="S35" s="32"/>
      <c r="T35" s="32"/>
      <c r="U35" s="32">
        <f>'Annual Inc Statement Reported'!K35-T35-S35-R35</f>
        <v>0</v>
      </c>
      <c r="V35" s="32"/>
      <c r="W35" s="32">
        <f>4</f>
        <v>4</v>
      </c>
      <c r="X35" s="32"/>
      <c r="Y35" s="32">
        <f>'Annual Inc Statement Reported'!L35-SUM('Interim Inc Statement Reported'!V35:X35)</f>
        <v>-4</v>
      </c>
      <c r="Z35" s="32"/>
      <c r="AA35" s="32"/>
      <c r="AB35" s="32"/>
    </row>
    <row r="36" spans="1:30" x14ac:dyDescent="0.3">
      <c r="A36" s="31" t="s">
        <v>35</v>
      </c>
      <c r="B36" s="36">
        <v>-25</v>
      </c>
      <c r="C36" s="36">
        <f>23-25</f>
        <v>-2</v>
      </c>
      <c r="D36" s="36">
        <f>-5-28</f>
        <v>-33</v>
      </c>
      <c r="E36" s="36">
        <v>-45</v>
      </c>
      <c r="F36" s="36">
        <f>-18-6-6</f>
        <v>-30</v>
      </c>
      <c r="G36" s="36">
        <v>-17</v>
      </c>
      <c r="H36" s="36">
        <f>-17-2</f>
        <v>-19</v>
      </c>
      <c r="I36" s="36">
        <v>9</v>
      </c>
      <c r="J36" s="36">
        <f>-16+26-5</f>
        <v>5</v>
      </c>
      <c r="K36" s="36">
        <v>-6</v>
      </c>
      <c r="L36" s="36"/>
      <c r="M36" s="36">
        <v>-29</v>
      </c>
      <c r="N36" s="36"/>
      <c r="O36" s="36">
        <f>-1-10</f>
        <v>-11</v>
      </c>
      <c r="P36" s="36">
        <v>-6</v>
      </c>
      <c r="Q36" s="36">
        <v>-17</v>
      </c>
      <c r="R36" s="36"/>
      <c r="S36" s="36">
        <v>-15</v>
      </c>
      <c r="T36" s="36">
        <v>-23</v>
      </c>
      <c r="U36" s="36">
        <f>'Annual Inc Statement Reported'!K36-T36-S36-R36</f>
        <v>-23</v>
      </c>
      <c r="V36" s="36">
        <v>-8</v>
      </c>
      <c r="W36" s="36">
        <v>-8</v>
      </c>
      <c r="X36" s="36"/>
      <c r="Y36" s="36">
        <f>'Annual Inc Statement Reported'!L36-SUM('Interim Inc Statement Reported'!V36:X36)</f>
        <v>16</v>
      </c>
      <c r="Z36" s="36"/>
      <c r="AA36" s="36"/>
      <c r="AB36" s="36"/>
    </row>
    <row r="37" spans="1:30" x14ac:dyDescent="0.3">
      <c r="A37" s="14" t="s">
        <v>36</v>
      </c>
      <c r="B37" s="22">
        <f>SUM(B30:B36)</f>
        <v>175</v>
      </c>
      <c r="C37" s="22">
        <f>SUM(C30:C36)</f>
        <v>298</v>
      </c>
      <c r="D37" s="22">
        <f>SUM(D30:D36)</f>
        <v>782</v>
      </c>
      <c r="E37" s="22">
        <f t="shared" ref="E37:J37" si="49">SUM(E30:E36)</f>
        <v>136</v>
      </c>
      <c r="F37" s="22">
        <f t="shared" si="49"/>
        <v>124</v>
      </c>
      <c r="G37" s="22">
        <f t="shared" si="49"/>
        <v>279</v>
      </c>
      <c r="H37" s="22">
        <f t="shared" si="49"/>
        <v>877</v>
      </c>
      <c r="I37" s="22">
        <f t="shared" si="49"/>
        <v>8</v>
      </c>
      <c r="J37" s="22">
        <f t="shared" si="49"/>
        <v>-49</v>
      </c>
      <c r="K37" s="22">
        <f>SUM(K30:K36)</f>
        <v>301</v>
      </c>
      <c r="L37" s="22">
        <f t="shared" ref="L37:O37" si="50">SUM(L30:L36)</f>
        <v>1032</v>
      </c>
      <c r="M37" s="22">
        <f t="shared" si="50"/>
        <v>160</v>
      </c>
      <c r="N37" s="22">
        <f t="shared" si="50"/>
        <v>-14</v>
      </c>
      <c r="O37" s="22">
        <f t="shared" si="50"/>
        <v>29</v>
      </c>
      <c r="P37" s="22">
        <f t="shared" ref="P37:R37" si="51">SUM(P30:P36)</f>
        <v>832</v>
      </c>
      <c r="Q37" s="22">
        <f t="shared" si="51"/>
        <v>105</v>
      </c>
      <c r="R37" s="22">
        <f t="shared" si="51"/>
        <v>127</v>
      </c>
      <c r="S37" s="22">
        <f t="shared" ref="S37:U37" si="52">SUM(S30:S36)</f>
        <v>407</v>
      </c>
      <c r="T37" s="22">
        <f t="shared" si="52"/>
        <v>933</v>
      </c>
      <c r="U37" s="22">
        <f t="shared" si="52"/>
        <v>135</v>
      </c>
      <c r="V37" s="22">
        <f t="shared" ref="V37:Y37" si="53">SUM(V30:V36)</f>
        <v>-441</v>
      </c>
      <c r="W37" s="22">
        <f t="shared" si="53"/>
        <v>-1563</v>
      </c>
      <c r="X37" s="22">
        <f t="shared" si="53"/>
        <v>-785</v>
      </c>
      <c r="Y37" s="22">
        <f t="shared" si="53"/>
        <v>-973</v>
      </c>
      <c r="Z37" s="22">
        <f t="shared" ref="Z37:AA37" si="54">SUM(Z30:Z36)</f>
        <v>-1049</v>
      </c>
      <c r="AA37" s="22">
        <f t="shared" si="54"/>
        <v>-1133</v>
      </c>
      <c r="AB37" s="22">
        <f t="shared" ref="AB37" si="55">SUM(AB30:AB36)</f>
        <v>-364</v>
      </c>
    </row>
    <row r="38" spans="1:30" x14ac:dyDescent="0.3">
      <c r="A38" s="31" t="s">
        <v>37</v>
      </c>
      <c r="B38" s="32">
        <f>-90+9</f>
        <v>-81</v>
      </c>
      <c r="C38" s="32">
        <f>-94+21</f>
        <v>-73</v>
      </c>
      <c r="D38" s="32">
        <f>-106+20</f>
        <v>-86</v>
      </c>
      <c r="E38" s="32">
        <v>-79</v>
      </c>
      <c r="F38" s="32">
        <f>-96+23</f>
        <v>-73</v>
      </c>
      <c r="G38" s="32">
        <f>-99+15</f>
        <v>-84</v>
      </c>
      <c r="H38" s="32">
        <f>-97+12</f>
        <v>-85</v>
      </c>
      <c r="I38" s="32">
        <v>-74</v>
      </c>
      <c r="J38" s="32">
        <f>-79+9</f>
        <v>-70</v>
      </c>
      <c r="K38" s="32">
        <f>-80+9</f>
        <v>-71</v>
      </c>
      <c r="L38" s="32">
        <f>-73+9</f>
        <v>-64</v>
      </c>
      <c r="M38" s="32">
        <v>-70</v>
      </c>
      <c r="N38" s="32">
        <f>-83+13</f>
        <v>-70</v>
      </c>
      <c r="O38" s="32">
        <f>-84+7</f>
        <v>-77</v>
      </c>
      <c r="P38" s="32">
        <f>-80+7</f>
        <v>-73</v>
      </c>
      <c r="Q38" s="32">
        <v>-76</v>
      </c>
      <c r="R38" s="32">
        <f>-133+8</f>
        <v>-125</v>
      </c>
      <c r="S38" s="32">
        <f>-131+9</f>
        <v>-122</v>
      </c>
      <c r="T38" s="32">
        <f>-129+9</f>
        <v>-120</v>
      </c>
      <c r="U38" s="32">
        <f>'Annual Inc Statement Reported'!K38-T38-S38-R38</f>
        <v>-113</v>
      </c>
      <c r="V38" s="32">
        <f>-129+8</f>
        <v>-121</v>
      </c>
      <c r="W38" s="32">
        <f>-149+6</f>
        <v>-143</v>
      </c>
      <c r="X38" s="32">
        <v>-196</v>
      </c>
      <c r="Y38" s="32">
        <f>'Annual Inc Statement Reported'!L38-SUM('Interim Inc Statement Reported'!V38:X38)</f>
        <v>-196</v>
      </c>
      <c r="Z38" s="32">
        <f>-177+4</f>
        <v>-173</v>
      </c>
      <c r="AA38" s="32">
        <f>5-164</f>
        <v>-159</v>
      </c>
      <c r="AB38" s="32">
        <f>-197+4</f>
        <v>-193</v>
      </c>
    </row>
    <row r="39" spans="1:30" x14ac:dyDescent="0.3">
      <c r="A39" s="31" t="s">
        <v>38</v>
      </c>
      <c r="B39" s="32">
        <v>9</v>
      </c>
      <c r="C39" s="32">
        <v>12</v>
      </c>
      <c r="D39" s="32">
        <v>12</v>
      </c>
      <c r="E39" s="32">
        <v>13</v>
      </c>
      <c r="F39" s="32">
        <v>10</v>
      </c>
      <c r="G39" s="32">
        <v>13</v>
      </c>
      <c r="H39" s="32">
        <v>12</v>
      </c>
      <c r="I39" s="32">
        <v>13</v>
      </c>
      <c r="J39" s="32">
        <v>12</v>
      </c>
      <c r="K39" s="32">
        <v>14</v>
      </c>
      <c r="L39" s="32">
        <v>16</v>
      </c>
      <c r="M39" s="32">
        <v>18</v>
      </c>
      <c r="N39" s="32">
        <v>20</v>
      </c>
      <c r="O39" s="32">
        <v>24</v>
      </c>
      <c r="P39" s="32">
        <f>32</f>
        <v>32</v>
      </c>
      <c r="Q39" s="32">
        <v>32</v>
      </c>
      <c r="R39" s="32">
        <v>38</v>
      </c>
      <c r="S39" s="32">
        <v>41</v>
      </c>
      <c r="T39" s="32">
        <v>44</v>
      </c>
      <c r="U39" s="32">
        <f>'Annual Inc Statement Reported'!K39-T39-S39-R39</f>
        <v>41</v>
      </c>
      <c r="V39" s="32">
        <v>42</v>
      </c>
      <c r="W39" s="32">
        <v>32</v>
      </c>
      <c r="X39" s="32">
        <v>32</v>
      </c>
      <c r="Y39" s="32">
        <f>'Annual Inc Statement Reported'!L39-SUM('Interim Inc Statement Reported'!V39:X39)</f>
        <v>26</v>
      </c>
      <c r="Z39" s="32">
        <v>21</v>
      </c>
      <c r="AA39" s="32">
        <v>16</v>
      </c>
      <c r="AB39" s="32">
        <v>17</v>
      </c>
    </row>
    <row r="40" spans="1:30" x14ac:dyDescent="0.3">
      <c r="A40" s="31" t="s">
        <v>39</v>
      </c>
      <c r="B40" s="32">
        <v>1</v>
      </c>
      <c r="C40" s="32">
        <v>5</v>
      </c>
      <c r="D40" s="32">
        <v>-20</v>
      </c>
      <c r="E40" s="32">
        <v>-3</v>
      </c>
      <c r="F40" s="32">
        <v>-10</v>
      </c>
      <c r="G40" s="32">
        <v>-1</v>
      </c>
      <c r="H40" s="32">
        <v>6</v>
      </c>
      <c r="I40" s="32">
        <v>9</v>
      </c>
      <c r="J40" s="32"/>
      <c r="K40" s="32">
        <v>7</v>
      </c>
      <c r="L40" s="32">
        <v>17</v>
      </c>
      <c r="M40" s="32">
        <v>-1</v>
      </c>
      <c r="N40" s="32">
        <v>1</v>
      </c>
      <c r="O40" s="32">
        <v>-9</v>
      </c>
      <c r="P40" s="32">
        <f>10</f>
        <v>10</v>
      </c>
      <c r="Q40" s="32">
        <v>-2</v>
      </c>
      <c r="R40" s="32">
        <f>8</f>
        <v>8</v>
      </c>
      <c r="S40" s="32">
        <v>6</v>
      </c>
      <c r="T40" s="32">
        <v>4</v>
      </c>
      <c r="U40" s="32">
        <f>'Annual Inc Statement Reported'!K40-T40-S40-R40</f>
        <v>-18</v>
      </c>
      <c r="V40" s="32">
        <v>-34</v>
      </c>
      <c r="W40" s="32">
        <v>-40</v>
      </c>
      <c r="X40" s="32">
        <v>46</v>
      </c>
      <c r="Y40" s="32">
        <f>'Annual Inc Statement Reported'!L40-SUM('Interim Inc Statement Reported'!V40:X40)</f>
        <v>-214</v>
      </c>
      <c r="Z40" s="32">
        <v>-242</v>
      </c>
      <c r="AA40" s="32"/>
      <c r="AB40" s="32">
        <v>114</v>
      </c>
    </row>
    <row r="41" spans="1:30" x14ac:dyDescent="0.3">
      <c r="A41" s="31" t="s">
        <v>40</v>
      </c>
      <c r="B41" s="32">
        <v>-408</v>
      </c>
      <c r="C41" s="32">
        <v>56</v>
      </c>
      <c r="D41" s="32">
        <v>-251</v>
      </c>
      <c r="E41" s="32">
        <v>-159</v>
      </c>
      <c r="F41" s="32">
        <v>50</v>
      </c>
      <c r="G41" s="32">
        <v>-17</v>
      </c>
      <c r="H41" s="32">
        <v>-42</v>
      </c>
      <c r="I41" s="32">
        <v>-29</v>
      </c>
      <c r="J41" s="32">
        <v>70</v>
      </c>
      <c r="K41" s="32">
        <v>68</v>
      </c>
      <c r="L41" s="32">
        <v>44</v>
      </c>
      <c r="M41" s="32">
        <v>-62</v>
      </c>
      <c r="N41" s="32">
        <v>-112</v>
      </c>
      <c r="O41" s="32">
        <v>-25</v>
      </c>
      <c r="P41" s="32">
        <f>89</f>
        <v>89</v>
      </c>
      <c r="Q41" s="32">
        <v>-269</v>
      </c>
      <c r="R41" s="32">
        <v>263</v>
      </c>
      <c r="S41" s="32">
        <v>117</v>
      </c>
      <c r="T41" s="32">
        <v>27</v>
      </c>
      <c r="U41" s="32">
        <f>'Annual Inc Statement Reported'!K41-T41-S41-R41</f>
        <v>92</v>
      </c>
      <c r="V41" s="32">
        <v>-711</v>
      </c>
      <c r="W41" s="32">
        <f>242</f>
        <v>242</v>
      </c>
      <c r="X41" s="32">
        <v>88</v>
      </c>
      <c r="Y41" s="32">
        <f>'Annual Inc Statement Reported'!L41-SUM('Interim Inc Statement Reported'!V41:X41)</f>
        <v>88</v>
      </c>
      <c r="Z41" s="32">
        <v>67</v>
      </c>
      <c r="AA41" s="32">
        <v>-5</v>
      </c>
      <c r="AB41" s="32">
        <v>-136</v>
      </c>
    </row>
    <row r="42" spans="1:30" x14ac:dyDescent="0.3">
      <c r="A42" s="31" t="s">
        <v>41</v>
      </c>
      <c r="B42" s="36">
        <v>-5</v>
      </c>
      <c r="C42" s="36">
        <v>-2</v>
      </c>
      <c r="D42" s="36"/>
      <c r="E42" s="36">
        <v>-24</v>
      </c>
      <c r="F42" s="36"/>
      <c r="G42" s="36">
        <v>-4</v>
      </c>
      <c r="H42" s="36"/>
      <c r="I42" s="36">
        <v>-105</v>
      </c>
      <c r="J42" s="36"/>
      <c r="K42" s="36">
        <v>-16</v>
      </c>
      <c r="L42" s="36">
        <f>-15-3-6</f>
        <v>-24</v>
      </c>
      <c r="M42" s="36">
        <v>-25</v>
      </c>
      <c r="N42" s="36">
        <f>-12+11-8</f>
        <v>-9</v>
      </c>
      <c r="O42" s="36">
        <v>-13</v>
      </c>
      <c r="P42" s="36">
        <f>-13-1</f>
        <v>-14</v>
      </c>
      <c r="Q42" s="36">
        <v>-6</v>
      </c>
      <c r="R42" s="36">
        <f>-10-16</f>
        <v>-26</v>
      </c>
      <c r="S42" s="36">
        <v>-9</v>
      </c>
      <c r="T42" s="36">
        <v>-10</v>
      </c>
      <c r="U42" s="36">
        <f>'Annual Inc Statement Reported'!K42-T42-S42-R42</f>
        <v>35</v>
      </c>
      <c r="V42" s="36">
        <f>-11</f>
        <v>-11</v>
      </c>
      <c r="W42" s="36">
        <f>-9</f>
        <v>-9</v>
      </c>
      <c r="X42" s="36">
        <f>6-6-6</f>
        <v>-6</v>
      </c>
      <c r="Y42" s="36">
        <f>'Annual Inc Statement Reported'!L42-SUM('Interim Inc Statement Reported'!V42:X42)</f>
        <v>-10</v>
      </c>
      <c r="Z42" s="36">
        <f>-4-7</f>
        <v>-11</v>
      </c>
      <c r="AA42" s="36">
        <f>-5-5-7</f>
        <v>-17</v>
      </c>
      <c r="AB42" s="36">
        <f>-110-1-6</f>
        <v>-117</v>
      </c>
    </row>
    <row r="43" spans="1:30" x14ac:dyDescent="0.3">
      <c r="A43" s="14" t="s">
        <v>42</v>
      </c>
      <c r="B43" s="22">
        <f>SUM(B37:B42)</f>
        <v>-309</v>
      </c>
      <c r="C43" s="22">
        <f>SUM(C37:C42)</f>
        <v>296</v>
      </c>
      <c r="D43" s="22">
        <f>SUM(D37:D42)</f>
        <v>437</v>
      </c>
      <c r="E43" s="22">
        <f t="shared" ref="E43:J43" si="56">SUM(E37:E42)</f>
        <v>-116</v>
      </c>
      <c r="F43" s="22">
        <f t="shared" si="56"/>
        <v>101</v>
      </c>
      <c r="G43" s="22">
        <f t="shared" si="56"/>
        <v>186</v>
      </c>
      <c r="H43" s="22">
        <f t="shared" si="56"/>
        <v>768</v>
      </c>
      <c r="I43" s="22">
        <f t="shared" si="56"/>
        <v>-178</v>
      </c>
      <c r="J43" s="22">
        <f t="shared" si="56"/>
        <v>-37</v>
      </c>
      <c r="K43" s="22">
        <f>SUM(K37:K42)</f>
        <v>303</v>
      </c>
      <c r="L43" s="22">
        <f t="shared" ref="L43:O43" si="57">SUM(L37:L42)</f>
        <v>1021</v>
      </c>
      <c r="M43" s="22">
        <f t="shared" si="57"/>
        <v>20</v>
      </c>
      <c r="N43" s="22">
        <f t="shared" si="57"/>
        <v>-184</v>
      </c>
      <c r="O43" s="22">
        <f t="shared" si="57"/>
        <v>-71</v>
      </c>
      <c r="P43" s="22">
        <f t="shared" ref="P43:R43" si="58">SUM(P37:P42)</f>
        <v>876</v>
      </c>
      <c r="Q43" s="22">
        <f t="shared" si="58"/>
        <v>-216</v>
      </c>
      <c r="R43" s="22">
        <f t="shared" si="58"/>
        <v>285</v>
      </c>
      <c r="S43" s="22">
        <f t="shared" ref="S43:U43" si="59">SUM(S37:S42)</f>
        <v>440</v>
      </c>
      <c r="T43" s="22">
        <f t="shared" si="59"/>
        <v>878</v>
      </c>
      <c r="U43" s="22">
        <f t="shared" si="59"/>
        <v>172</v>
      </c>
      <c r="V43" s="22">
        <f t="shared" ref="V43:Y43" si="60">SUM(V37:V42)</f>
        <v>-1276</v>
      </c>
      <c r="W43" s="22">
        <f t="shared" si="60"/>
        <v>-1481</v>
      </c>
      <c r="X43" s="22">
        <f t="shared" si="60"/>
        <v>-821</v>
      </c>
      <c r="Y43" s="22">
        <f t="shared" si="60"/>
        <v>-1279</v>
      </c>
      <c r="Z43" s="22">
        <f t="shared" ref="Z43:AA43" si="61">SUM(Z37:Z42)</f>
        <v>-1387</v>
      </c>
      <c r="AA43" s="22">
        <f t="shared" si="61"/>
        <v>-1298</v>
      </c>
      <c r="AB43" s="22">
        <f t="shared" ref="AB43" si="62">SUM(AB37:AB42)</f>
        <v>-679</v>
      </c>
    </row>
    <row r="44" spans="1:30" x14ac:dyDescent="0.3">
      <c r="A44" s="31" t="s">
        <v>3</v>
      </c>
      <c r="B44" s="36"/>
      <c r="C44" s="36"/>
      <c r="D44" s="36"/>
      <c r="E44" s="36"/>
      <c r="F44" s="36"/>
      <c r="G44" s="36"/>
      <c r="H44" s="36"/>
      <c r="I44" s="36">
        <v>-1</v>
      </c>
      <c r="J44" s="36"/>
      <c r="K44" s="36">
        <v>-3</v>
      </c>
      <c r="L44" s="36">
        <v>793</v>
      </c>
      <c r="M44" s="36">
        <v>-31</v>
      </c>
      <c r="N44" s="36">
        <v>14</v>
      </c>
      <c r="O44" s="36">
        <v>-6</v>
      </c>
      <c r="P44" s="36">
        <v>-231</v>
      </c>
      <c r="Q44" s="36">
        <v>-15</v>
      </c>
      <c r="R44" s="36">
        <v>60</v>
      </c>
      <c r="S44" s="36">
        <v>-97</v>
      </c>
      <c r="T44" s="36">
        <v>-242</v>
      </c>
      <c r="U44" s="36">
        <f>'Annual Inc Statement Reported'!K44-T44-S44-R44</f>
        <v>-20</v>
      </c>
      <c r="V44" s="36">
        <v>227</v>
      </c>
      <c r="W44" s="36">
        <v>-271</v>
      </c>
      <c r="X44" s="36">
        <v>136</v>
      </c>
      <c r="Y44" s="36">
        <f>'Annual Inc Statement Reported'!L44-SUM('Interim Inc Statement Reported'!V44:X44)</f>
        <v>114</v>
      </c>
      <c r="Z44" s="36">
        <v>83</v>
      </c>
      <c r="AA44" s="36">
        <v>133</v>
      </c>
      <c r="AB44" s="36">
        <v>39</v>
      </c>
    </row>
    <row r="45" spans="1:30" x14ac:dyDescent="0.3">
      <c r="A45" s="14" t="s">
        <v>43</v>
      </c>
      <c r="B45" s="22">
        <f>SUM(B43:B44)</f>
        <v>-309</v>
      </c>
      <c r="C45" s="22">
        <f>SUM(C43:C44)</f>
        <v>296</v>
      </c>
      <c r="D45" s="22">
        <f>SUM(D43:D44)</f>
        <v>437</v>
      </c>
      <c r="E45" s="22">
        <f>SUM(E43:E44)</f>
        <v>-116</v>
      </c>
      <c r="F45" s="22">
        <f t="shared" ref="F45:K45" si="63">SUM(F43:F44)</f>
        <v>101</v>
      </c>
      <c r="G45" s="22">
        <f t="shared" si="63"/>
        <v>186</v>
      </c>
      <c r="H45" s="22">
        <f t="shared" si="63"/>
        <v>768</v>
      </c>
      <c r="I45" s="22">
        <f t="shared" si="63"/>
        <v>-179</v>
      </c>
      <c r="J45" s="22">
        <f t="shared" si="63"/>
        <v>-37</v>
      </c>
      <c r="K45" s="22">
        <f t="shared" si="63"/>
        <v>300</v>
      </c>
      <c r="L45" s="22">
        <f t="shared" ref="L45:O45" si="64">SUM(L43:L44)</f>
        <v>1814</v>
      </c>
      <c r="M45" s="22">
        <f t="shared" si="64"/>
        <v>-11</v>
      </c>
      <c r="N45" s="22">
        <f t="shared" si="64"/>
        <v>-170</v>
      </c>
      <c r="O45" s="22">
        <f t="shared" si="64"/>
        <v>-77</v>
      </c>
      <c r="P45" s="22">
        <f t="shared" ref="P45:R45" si="65">SUM(P43:P44)</f>
        <v>645</v>
      </c>
      <c r="Q45" s="22">
        <f t="shared" si="65"/>
        <v>-231</v>
      </c>
      <c r="R45" s="22">
        <f t="shared" si="65"/>
        <v>345</v>
      </c>
      <c r="S45" s="22">
        <f t="shared" ref="S45:U45" si="66">SUM(S43:S44)</f>
        <v>343</v>
      </c>
      <c r="T45" s="22">
        <f t="shared" si="66"/>
        <v>636</v>
      </c>
      <c r="U45" s="22">
        <f t="shared" si="66"/>
        <v>152</v>
      </c>
      <c r="V45" s="22">
        <f t="shared" ref="V45:Y45" si="67">SUM(V43:V44)</f>
        <v>-1049</v>
      </c>
      <c r="W45" s="22">
        <f t="shared" si="67"/>
        <v>-1752</v>
      </c>
      <c r="X45" s="22">
        <f t="shared" si="67"/>
        <v>-685</v>
      </c>
      <c r="Y45" s="22">
        <f t="shared" si="67"/>
        <v>-1165</v>
      </c>
      <c r="Z45" s="22">
        <f t="shared" ref="Z45:AA45" si="68">SUM(Z43:Z44)</f>
        <v>-1304</v>
      </c>
      <c r="AA45" s="22">
        <f t="shared" si="68"/>
        <v>-1165</v>
      </c>
      <c r="AB45" s="22">
        <f t="shared" ref="AB45" si="69">SUM(AB43:AB44)</f>
        <v>-640</v>
      </c>
    </row>
    <row r="46" spans="1:30" x14ac:dyDescent="0.3">
      <c r="A46" s="31" t="s">
        <v>8</v>
      </c>
      <c r="B46" s="32"/>
      <c r="C46" s="32"/>
      <c r="D46" s="32"/>
      <c r="E46" s="32"/>
      <c r="F46" s="32"/>
      <c r="G46" s="32"/>
      <c r="H46" s="32"/>
      <c r="I46" s="32"/>
      <c r="J46" s="32"/>
      <c r="K46" s="32"/>
      <c r="L46" s="32"/>
      <c r="M46" s="32"/>
      <c r="N46" s="32"/>
      <c r="O46" s="32"/>
      <c r="P46" s="32"/>
      <c r="Q46" s="32"/>
      <c r="R46" s="32"/>
      <c r="S46" s="32"/>
      <c r="T46" s="32"/>
      <c r="U46" s="32">
        <f>'Annual Inc Statement Reported'!K46-T46-S46-R46</f>
        <v>0</v>
      </c>
      <c r="V46" s="32">
        <f>'Annual Inc Statement Reported'!L46-U46-T46-S46</f>
        <v>0</v>
      </c>
      <c r="W46" s="32">
        <f>'Annual Inc Statement Reported'!M46-V46-U46-T46</f>
        <v>0</v>
      </c>
      <c r="X46" s="32">
        <f>'Annual Inc Statement Reported'!N46-W46-V46-U46</f>
        <v>0</v>
      </c>
      <c r="Y46" s="32">
        <f>'Annual Inc Statement Reported'!O46-X46-W46-V46</f>
        <v>0</v>
      </c>
      <c r="Z46" s="32">
        <f>'Annual Inc Statement Reported'!P46-Y46-X46-W46</f>
        <v>0</v>
      </c>
      <c r="AA46" s="32">
        <f>'Annual Inc Statement Reported'!Q46-Z46-Y46-X46</f>
        <v>0</v>
      </c>
      <c r="AB46" s="32"/>
    </row>
    <row r="47" spans="1:30" ht="15" thickBot="1" x14ac:dyDescent="0.35">
      <c r="A47" s="14" t="s">
        <v>44</v>
      </c>
      <c r="B47" s="24">
        <f>B45-B46</f>
        <v>-309</v>
      </c>
      <c r="C47" s="24">
        <f>C45-C46</f>
        <v>296</v>
      </c>
      <c r="D47" s="24">
        <f>D45-D46</f>
        <v>437</v>
      </c>
      <c r="E47" s="24">
        <f>E45-E46</f>
        <v>-116</v>
      </c>
      <c r="F47" s="24">
        <f t="shared" ref="F47:K47" si="70">F45-F46</f>
        <v>101</v>
      </c>
      <c r="G47" s="24">
        <f t="shared" si="70"/>
        <v>186</v>
      </c>
      <c r="H47" s="24">
        <f t="shared" si="70"/>
        <v>768</v>
      </c>
      <c r="I47" s="24">
        <f t="shared" si="70"/>
        <v>-179</v>
      </c>
      <c r="J47" s="24">
        <f t="shared" si="70"/>
        <v>-37</v>
      </c>
      <c r="K47" s="24">
        <f t="shared" si="70"/>
        <v>300</v>
      </c>
      <c r="L47" s="24">
        <f t="shared" ref="L47:O47" si="71">L45-L46</f>
        <v>1814</v>
      </c>
      <c r="M47" s="24">
        <f t="shared" si="71"/>
        <v>-11</v>
      </c>
      <c r="N47" s="24">
        <f t="shared" si="71"/>
        <v>-170</v>
      </c>
      <c r="O47" s="24">
        <f t="shared" si="71"/>
        <v>-77</v>
      </c>
      <c r="P47" s="24">
        <f t="shared" ref="P47:R47" si="72">P45-P46</f>
        <v>645</v>
      </c>
      <c r="Q47" s="24">
        <f t="shared" si="72"/>
        <v>-231</v>
      </c>
      <c r="R47" s="24">
        <f t="shared" si="72"/>
        <v>345</v>
      </c>
      <c r="S47" s="24">
        <f t="shared" ref="S47:U47" si="73">S45-S46</f>
        <v>343</v>
      </c>
      <c r="T47" s="24">
        <f t="shared" si="73"/>
        <v>636</v>
      </c>
      <c r="U47" s="24">
        <f t="shared" si="73"/>
        <v>152</v>
      </c>
      <c r="V47" s="24">
        <f t="shared" ref="V47:Y47" si="74">V45-V46</f>
        <v>-1049</v>
      </c>
      <c r="W47" s="24">
        <f t="shared" si="74"/>
        <v>-1752</v>
      </c>
      <c r="X47" s="24">
        <f t="shared" si="74"/>
        <v>-685</v>
      </c>
      <c r="Y47" s="24">
        <f t="shared" si="74"/>
        <v>-1165</v>
      </c>
      <c r="Z47" s="24">
        <f t="shared" ref="Z47:AA47" si="75">Z45-Z46</f>
        <v>-1304</v>
      </c>
      <c r="AA47" s="24">
        <f t="shared" si="75"/>
        <v>-1165</v>
      </c>
      <c r="AB47" s="24">
        <f t="shared" ref="AB47" si="76">AB45-AB46</f>
        <v>-640</v>
      </c>
      <c r="AD47" s="267">
        <f>AB47/T47-1</f>
        <v>-2.0062893081761004</v>
      </c>
    </row>
    <row r="48" spans="1:30" ht="15" thickTop="1" x14ac:dyDescent="0.3">
      <c r="A48" s="14"/>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row>
    <row r="49" spans="1:28" x14ac:dyDescent="0.3">
      <c r="A49" s="8" t="s">
        <v>2</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8" x14ac:dyDescent="0.3">
      <c r="A50" s="85" t="str">
        <f>'Annual Operational Data'!A31</f>
        <v>RPMs</v>
      </c>
      <c r="B50" s="12">
        <f>'Interim Operational Data'!B31</f>
        <v>14937</v>
      </c>
      <c r="C50" s="12">
        <f>'Interim Operational Data'!C31</f>
        <v>16845</v>
      </c>
      <c r="D50" s="12">
        <f>'Interim Operational Data'!D31</f>
        <v>20462</v>
      </c>
      <c r="E50" s="12">
        <f>'Interim Operational Data'!E31</f>
        <v>15301</v>
      </c>
      <c r="F50" s="12">
        <f>'Interim Operational Data'!F31</f>
        <v>16092</v>
      </c>
      <c r="G50" s="12">
        <f>'Interim Operational Data'!G31</f>
        <v>18418</v>
      </c>
      <c r="H50" s="12">
        <f>'Interim Operational Data'!H31</f>
        <v>24328</v>
      </c>
      <c r="I50" s="12">
        <f>'Interim Operational Data'!I31</f>
        <v>17643</v>
      </c>
      <c r="J50" s="12">
        <f>'Interim Operational Data'!J31</f>
        <v>18341</v>
      </c>
      <c r="K50" s="12">
        <f>'Interim Operational Data'!K31</f>
        <v>20928</v>
      </c>
      <c r="L50" s="12">
        <f>'Interim Operational Data'!L31</f>
        <v>26472</v>
      </c>
      <c r="M50" s="12">
        <f>'Interim Operational Data'!M31</f>
        <v>19396</v>
      </c>
      <c r="N50" s="12">
        <f>'Interim Operational Data'!N31</f>
        <v>20440</v>
      </c>
      <c r="O50" s="12">
        <f>'Interim Operational Data'!O31</f>
        <v>22654</v>
      </c>
      <c r="P50" s="12">
        <f>'Interim Operational Data'!P31</f>
        <v>28465</v>
      </c>
      <c r="Q50" s="12">
        <f>'Interim Operational Data'!Q31</f>
        <v>20801</v>
      </c>
      <c r="R50" s="12">
        <f>'Interim Operational Data'!R31</f>
        <v>21293</v>
      </c>
      <c r="S50" s="12">
        <f>'Interim Operational Data'!S31</f>
        <v>23463</v>
      </c>
      <c r="T50" s="12">
        <f>'Interim Operational Data'!T31</f>
        <v>27954</v>
      </c>
      <c r="U50" s="12">
        <f>'Interim Operational Data'!U31</f>
        <v>21403</v>
      </c>
      <c r="V50" s="12">
        <f>'Interim Operational Data'!V31</f>
        <v>17507</v>
      </c>
      <c r="W50" s="12">
        <f>'Interim Operational Data'!W31</f>
        <v>783</v>
      </c>
      <c r="X50" s="12">
        <f>'Interim Operational Data'!X31</f>
        <v>2517</v>
      </c>
      <c r="Y50" s="12">
        <f>'Interim Operational Data'!Y31</f>
        <v>2432</v>
      </c>
      <c r="Z50" s="12">
        <f>'Interim Operational Data'!Z31</f>
        <v>1831</v>
      </c>
      <c r="AA50" s="12">
        <f>'Interim Operational Data'!AA31</f>
        <v>1687</v>
      </c>
      <c r="AB50" s="12">
        <f>'Interim Operational Data'!AB31</f>
        <v>7915</v>
      </c>
    </row>
    <row r="51" spans="1:28" x14ac:dyDescent="0.3">
      <c r="A51" s="85" t="s">
        <v>0</v>
      </c>
      <c r="B51" s="40"/>
      <c r="C51" s="2" t="str">
        <f ca="1">IFERROR(IF(Inputs!$E$14 = "Semi-annual",(C50/OFFSET(C50,0,-2,,))-1,(C50/OFFSET(C50,0,-4,,))-1),"")</f>
        <v/>
      </c>
      <c r="D51" s="2" t="str">
        <f ca="1">IFERROR(IF(Inputs!$E$14 = "Semi-annual",(D50/OFFSET(D50,0,-2,,))-1,(D50/OFFSET(D50,0,-4,,))-1),"")</f>
        <v/>
      </c>
      <c r="E51" s="2" t="str">
        <f ca="1">IFERROR(IF(Inputs!$E$14 = "Semi-annual",(E50/OFFSET(E50,0,-2,,))-1,(E50/OFFSET(E50,0,-4,,))-1),"")</f>
        <v/>
      </c>
      <c r="F51" s="2">
        <f ca="1">IFERROR(IF(Inputs!$E$14 = "Semi-annual",(F50/OFFSET(F50,0,-2,,))-1,(F50/OFFSET(F50,0,-4,,))-1),"")</f>
        <v>7.7324764008837032E-2</v>
      </c>
      <c r="G51" s="2">
        <f ca="1">IFERROR(IF(Inputs!$E$14 = "Semi-annual",(G50/OFFSET(G50,0,-2,,))-1,(G50/OFFSET(G50,0,-4,,))-1),"")</f>
        <v>9.3380825170673809E-2</v>
      </c>
      <c r="H51" s="2">
        <f ca="1">IFERROR(IF(Inputs!$E$14 = "Semi-annual",(H50/OFFSET(H50,0,-2,,))-1,(H50/OFFSET(H50,0,-4,,))-1),"")</f>
        <v>0.1889355879190695</v>
      </c>
      <c r="I51" s="2">
        <f ca="1">IFERROR(IF(Inputs!$E$14 = "Semi-annual",(I50/OFFSET(I50,0,-2,,))-1,(I50/OFFSET(I50,0,-4,,))-1),"")</f>
        <v>0.15306189137964843</v>
      </c>
      <c r="J51" s="2">
        <f ca="1">IFERROR(IF(Inputs!$E$14 = "Semi-annual",(J50/OFFSET(J50,0,-2,,))-1,(J50/OFFSET(J50,0,-4,,))-1),"")</f>
        <v>0.13975888640318179</v>
      </c>
      <c r="K51" s="2">
        <f ca="1">IFERROR(IF(Inputs!$E$14 = "Semi-annual",(K50/OFFSET(K50,0,-2,,))-1,(K50/OFFSET(K50,0,-4,,))-1),"")</f>
        <v>0.13627972635465313</v>
      </c>
      <c r="L51" s="2">
        <f ca="1">IFERROR(IF(Inputs!$E$14 = "Semi-annual",(L50/OFFSET(L50,0,-2,,))-1,(L50/OFFSET(L50,0,-4,,))-1),"")</f>
        <v>8.8128904965471877E-2</v>
      </c>
      <c r="M51" s="2">
        <f ca="1">IFERROR(IF(Inputs!$E$14 = "Semi-annual",(M50/OFFSET(M50,0,-2,,))-1,(M50/OFFSET(M50,0,-4,,))-1),"")</f>
        <v>9.9359519356118531E-2</v>
      </c>
      <c r="N51" s="2">
        <f ca="1">IFERROR(IF(Inputs!$E$14 = "Semi-annual",(N50/OFFSET(N50,0,-2,,))-1,(N50/OFFSET(N50,0,-4,,))-1),"")</f>
        <v>0.11444305108772701</v>
      </c>
      <c r="O51" s="2">
        <f ca="1">IFERROR(IF(Inputs!$E$14 = "Semi-annual",(O50/OFFSET(O50,0,-2,,))-1,(O50/OFFSET(O50,0,-4,,))-1),"")</f>
        <v>8.2473241590214075E-2</v>
      </c>
      <c r="P51" s="2">
        <f ca="1">IFERROR(IF(Inputs!$E$14 = "Semi-annual",(P50/OFFSET(P50,0,-2,,))-1,(P50/OFFSET(P50,0,-4,,))-1),"")</f>
        <v>7.5287095799335235E-2</v>
      </c>
      <c r="Q51" s="2">
        <f ca="1">IFERROR(IF(Inputs!$E$14 = "Semi-annual",(Q50/OFFSET(Q50,0,-2,,))-1,(Q50/OFFSET(Q50,0,-4,,))-1),"")</f>
        <v>7.2437616003299565E-2</v>
      </c>
      <c r="R51" s="2">
        <f ca="1">IFERROR(IF(Inputs!$E$14 = "Semi-annual",(R50/OFFSET(R50,0,-2,,))-1,(R50/OFFSET(R50,0,-4,,))-1),"")</f>
        <v>4.1731898238747567E-2</v>
      </c>
      <c r="S51" s="2">
        <f ca="1">IFERROR(IF(Inputs!$E$14 = "Semi-annual",(S50/OFFSET(S50,0,-2,,))-1,(S50/OFFSET(S50,0,-4,,))-1),"")</f>
        <v>3.5711132691798264E-2</v>
      </c>
      <c r="T51" s="2">
        <f ca="1">IFERROR(IF(Inputs!$E$14 = "Semi-annual",(T50/OFFSET(T50,0,-2,,))-1,(T50/OFFSET(T50,0,-4,,))-1),"")</f>
        <v>-1.7951870718426188E-2</v>
      </c>
      <c r="U51" s="2">
        <f ca="1">IFERROR(IF(Inputs!$E$14 = "Semi-annual",(U50/OFFSET(U50,0,-2,,))-1,(U50/OFFSET(U50,0,-4,,))-1),"")</f>
        <v>2.8940916302100828E-2</v>
      </c>
      <c r="V51" s="2">
        <f ca="1">IFERROR(IF(Inputs!$E$14 = "Semi-annual",(V50/OFFSET(V50,0,-2,,))-1,(V50/OFFSET(V50,0,-4,,))-1),"")</f>
        <v>-0.17780491241252994</v>
      </c>
      <c r="W51" s="2">
        <f ca="1">IFERROR(IF(Inputs!$E$14 = "Semi-annual",(W50/OFFSET(W50,0,-2,,))-1,(W50/OFFSET(W50,0,-4,,))-1),"")</f>
        <v>-0.96662830840046032</v>
      </c>
      <c r="X51" s="2">
        <f ca="1">IFERROR(IF(Inputs!$E$14 = "Semi-annual",(X50/OFFSET(X50,0,-2,,))-1,(X50/OFFSET(X50,0,-4,,))-1),"")</f>
        <v>-0.90995921871646279</v>
      </c>
      <c r="Y51" s="2">
        <f ca="1">IFERROR(IF(Inputs!$E$14 = "Semi-annual",(Y50/OFFSET(Y50,0,-2,,))-1,(Y50/OFFSET(Y50,0,-4,,))-1),"")</f>
        <v>-0.88637106947624167</v>
      </c>
      <c r="Z51" s="2">
        <f ca="1">IFERROR(IF(Inputs!$E$14 = "Semi-annual",(Z50/OFFSET(Z50,0,-2,,))-1,(Z50/OFFSET(Z50,0,-4,,))-1),"")</f>
        <v>-0.89541326326612214</v>
      </c>
      <c r="AA51" s="2">
        <f ca="1">IFERROR(IF(Inputs!$E$14 = "Semi-annual",(AA50/OFFSET(AA50,0,-2,,))-1,(AA50/OFFSET(AA50,0,-4,,))-1),"")</f>
        <v>1.1545338441890167</v>
      </c>
      <c r="AB51" s="2">
        <f ca="1">IFERROR(IF(Inputs!$E$14 = "Semi-annual",(AB50/OFFSET(AB50,0,-2,,))-1,(AB50/OFFSET(AB50,0,-4,,))-1),"")</f>
        <v>2.144616607071911</v>
      </c>
    </row>
    <row r="52" spans="1:28" x14ac:dyDescent="0.3">
      <c r="A52" s="85" t="str">
        <f>'Annual Operational Data'!A33</f>
        <v>ASMs</v>
      </c>
      <c r="B52" s="12">
        <f>'Interim Operational Data'!B33</f>
        <v>18335</v>
      </c>
      <c r="C52" s="12">
        <f>'Interim Operational Data'!C33</f>
        <v>20132</v>
      </c>
      <c r="D52" s="12">
        <f>'Interim Operational Data'!D33</f>
        <v>23535</v>
      </c>
      <c r="E52" s="12">
        <f>'Interim Operational Data'!E33</f>
        <v>18869</v>
      </c>
      <c r="F52" s="12">
        <f>'Interim Operational Data'!F33</f>
        <v>19833</v>
      </c>
      <c r="G52" s="12">
        <f>'Interim Operational Data'!G33</f>
        <v>22344</v>
      </c>
      <c r="H52" s="12">
        <f>'Interim Operational Data'!H33</f>
        <v>28458</v>
      </c>
      <c r="I52" s="12">
        <f>'Interim Operational Data'!I33</f>
        <v>22091</v>
      </c>
      <c r="J52" s="12">
        <f>'Interim Operational Data'!J33</f>
        <v>22894</v>
      </c>
      <c r="K52" s="12">
        <f>'Interim Operational Data'!K33</f>
        <v>25357</v>
      </c>
      <c r="L52" s="12">
        <f>'Interim Operational Data'!L33</f>
        <v>31050</v>
      </c>
      <c r="M52" s="12">
        <f>'Interim Operational Data'!M33</f>
        <v>24191</v>
      </c>
      <c r="N52" s="12">
        <f>'Interim Operational Data'!N33</f>
        <v>24862</v>
      </c>
      <c r="O52" s="12">
        <f>'Interim Operational Data'!O33</f>
        <v>27269</v>
      </c>
      <c r="P52" s="12">
        <f>'Interim Operational Data'!P33</f>
        <v>33137</v>
      </c>
      <c r="Q52" s="12">
        <f>'Interim Operational Data'!Q33</f>
        <v>25598</v>
      </c>
      <c r="R52" s="12">
        <f>'Interim Operational Data'!R33</f>
        <v>26016</v>
      </c>
      <c r="S52" s="12">
        <f>'Interim Operational Data'!S33</f>
        <v>27910</v>
      </c>
      <c r="T52" s="12">
        <f>'Interim Operational Data'!T33</f>
        <v>32457</v>
      </c>
      <c r="U52" s="12">
        <f>'Interim Operational Data'!U33</f>
        <v>26431</v>
      </c>
      <c r="V52" s="12">
        <f>'Interim Operational Data'!V33</f>
        <v>23511</v>
      </c>
      <c r="W52" s="12">
        <f>'Interim Operational Data'!W33</f>
        <v>2243</v>
      </c>
      <c r="X52" s="12">
        <f>'Interim Operational Data'!X33</f>
        <v>5949</v>
      </c>
      <c r="Y52" s="12">
        <f>'Interim Operational Data'!Y33</f>
        <v>6000</v>
      </c>
      <c r="Z52" s="12">
        <f>'Interim Operational Data'!Z33</f>
        <v>4211</v>
      </c>
      <c r="AA52" s="12">
        <f>'Interim Operational Data'!AA33</f>
        <v>4000</v>
      </c>
      <c r="AB52" s="12">
        <f>'Interim Operational Data'!AB33</f>
        <v>11116</v>
      </c>
    </row>
    <row r="53" spans="1:28" x14ac:dyDescent="0.3">
      <c r="A53" s="85" t="s">
        <v>0</v>
      </c>
      <c r="B53" s="40"/>
      <c r="C53" s="2" t="str">
        <f ca="1">IFERROR(IF(Inputs!$E$14 = "Semi-annual",(C52/OFFSET(C52,0,-2,,))-1,(C52/OFFSET(C52,0,-4,,))-1),"")</f>
        <v/>
      </c>
      <c r="D53" s="2" t="str">
        <f ca="1">IFERROR(IF(Inputs!$E$14 = "Semi-annual",(D52/OFFSET(D52,0,-2,,))-1,(D52/OFFSET(D52,0,-4,,))-1),"")</f>
        <v/>
      </c>
      <c r="E53" s="2" t="str">
        <f ca="1">IFERROR(IF(Inputs!$E$14 = "Semi-annual",(E52/OFFSET(E52,0,-2,,))-1,(E52/OFFSET(E52,0,-4,,))-1),"")</f>
        <v/>
      </c>
      <c r="F53" s="2">
        <f ca="1">IFERROR(IF(Inputs!$E$14 = "Semi-annual",(F52/OFFSET(F52,0,-2,,))-1,(F52/OFFSET(F52,0,-4,,))-1),"")</f>
        <v>8.1701663485137743E-2</v>
      </c>
      <c r="G53" s="2">
        <f ca="1">IFERROR(IF(Inputs!$E$14 = "Semi-annual",(G52/OFFSET(G52,0,-2,,))-1,(G52/OFFSET(G52,0,-4,,))-1),"")</f>
        <v>0.10987482614742694</v>
      </c>
      <c r="H53" s="2">
        <f ca="1">IFERROR(IF(Inputs!$E$14 = "Semi-annual",(H52/OFFSET(H52,0,-2,,))-1,(H52/OFFSET(H52,0,-4,,))-1),"")</f>
        <v>0.20917782026768639</v>
      </c>
      <c r="I53" s="2">
        <f ca="1">IFERROR(IF(Inputs!$E$14 = "Semi-annual",(I52/OFFSET(I52,0,-2,,))-1,(I52/OFFSET(I52,0,-4,,))-1),"")</f>
        <v>0.17075626689278711</v>
      </c>
      <c r="J53" s="2">
        <f ca="1">IFERROR(IF(Inputs!$E$14 = "Semi-annual",(J52/OFFSET(J52,0,-2,,))-1,(J52/OFFSET(J52,0,-4,,))-1),"")</f>
        <v>0.1543387283819897</v>
      </c>
      <c r="K53" s="2">
        <f ca="1">IFERROR(IF(Inputs!$E$14 = "Semi-annual",(K52/OFFSET(K52,0,-2,,))-1,(K52/OFFSET(K52,0,-4,,))-1),"")</f>
        <v>0.13484604368063025</v>
      </c>
      <c r="L53" s="2">
        <f ca="1">IFERROR(IF(Inputs!$E$14 = "Semi-annual",(L52/OFFSET(L52,0,-2,,))-1,(L52/OFFSET(L52,0,-4,,))-1),"")</f>
        <v>9.1081593927893723E-2</v>
      </c>
      <c r="M53" s="2">
        <f ca="1">IFERROR(IF(Inputs!$E$14 = "Semi-annual",(M52/OFFSET(M52,0,-2,,))-1,(M52/OFFSET(M52,0,-4,,))-1),"")</f>
        <v>9.5061337196143292E-2</v>
      </c>
      <c r="N53" s="2">
        <f ca="1">IFERROR(IF(Inputs!$E$14 = "Semi-annual",(N52/OFFSET(N52,0,-2,,))-1,(N52/OFFSET(N52,0,-4,,))-1),"")</f>
        <v>8.5961387263038258E-2</v>
      </c>
      <c r="O53" s="2">
        <f ca="1">IFERROR(IF(Inputs!$E$14 = "Semi-annual",(O52/OFFSET(O52,0,-2,,))-1,(O52/OFFSET(O52,0,-4,,))-1),"")</f>
        <v>7.5403241708404067E-2</v>
      </c>
      <c r="P53" s="2">
        <f ca="1">IFERROR(IF(Inputs!$E$14 = "Semi-annual",(P52/OFFSET(P52,0,-2,,))-1,(P52/OFFSET(P52,0,-4,,))-1),"")</f>
        <v>6.721417069243163E-2</v>
      </c>
      <c r="Q53" s="2">
        <f ca="1">IFERROR(IF(Inputs!$E$14 = "Semi-annual",(Q52/OFFSET(Q52,0,-2,,))-1,(Q52/OFFSET(Q52,0,-4,,))-1),"")</f>
        <v>5.8162126410648662E-2</v>
      </c>
      <c r="R53" s="2">
        <f ca="1">IFERROR(IF(Inputs!$E$14 = "Semi-annual",(R52/OFFSET(R52,0,-2,,))-1,(R52/OFFSET(R52,0,-4,,))-1),"")</f>
        <v>4.6416217520714342E-2</v>
      </c>
      <c r="S53" s="2">
        <f ca="1">IFERROR(IF(Inputs!$E$14 = "Semi-annual",(S52/OFFSET(S52,0,-2,,))-1,(S52/OFFSET(S52,0,-4,,))-1),"")</f>
        <v>2.3506545894605546E-2</v>
      </c>
      <c r="T53" s="2">
        <f ca="1">IFERROR(IF(Inputs!$E$14 = "Semi-annual",(T52/OFFSET(T52,0,-2,,))-1,(T52/OFFSET(T52,0,-4,,))-1),"")</f>
        <v>-2.0520867912001695E-2</v>
      </c>
      <c r="U53" s="2">
        <f ca="1">IFERROR(IF(Inputs!$E$14 = "Semi-annual",(U52/OFFSET(U52,0,-2,,))-1,(U52/OFFSET(U52,0,-4,,))-1),"")</f>
        <v>3.2541604812875935E-2</v>
      </c>
      <c r="V53" s="2">
        <f ca="1">IFERROR(IF(Inputs!$E$14 = "Semi-annual",(V52/OFFSET(V52,0,-2,,))-1,(V52/OFFSET(V52,0,-4,,))-1),"")</f>
        <v>-9.628690036900367E-2</v>
      </c>
      <c r="W53" s="2">
        <f ca="1">IFERROR(IF(Inputs!$E$14 = "Semi-annual",(W52/OFFSET(W52,0,-2,,))-1,(W52/OFFSET(W52,0,-4,,))-1),"")</f>
        <v>-0.91963453959154429</v>
      </c>
      <c r="X53" s="2">
        <f ca="1">IFERROR(IF(Inputs!$E$14 = "Semi-annual",(X52/OFFSET(X52,0,-2,,))-1,(X52/OFFSET(X52,0,-4,,))-1),"")</f>
        <v>-0.81671134115907207</v>
      </c>
      <c r="Y53" s="2">
        <f ca="1">IFERROR(IF(Inputs!$E$14 = "Semi-annual",(Y52/OFFSET(Y52,0,-2,,))-1,(Y52/OFFSET(Y52,0,-4,,))-1),"")</f>
        <v>-0.77299383299912983</v>
      </c>
      <c r="Z53" s="2">
        <f ca="1">IFERROR(IF(Inputs!$E$14 = "Semi-annual",(Z52/OFFSET(Z52,0,-2,,))-1,(Z52/OFFSET(Z52,0,-4,,))-1),"")</f>
        <v>-0.82089234826251545</v>
      </c>
      <c r="AA53" s="2">
        <f ca="1">IFERROR(IF(Inputs!$E$14 = "Semi-annual",(AA52/OFFSET(AA52,0,-2,,))-1,(AA52/OFFSET(AA52,0,-4,,))-1),"")</f>
        <v>0.78332590280873826</v>
      </c>
      <c r="AB53" s="2">
        <f ca="1">IFERROR(IF(Inputs!$E$14 = "Semi-annual",(AB52/OFFSET(AB52,0,-2,,))-1,(AB52/OFFSET(AB52,0,-4,,))-1),"")</f>
        <v>0.86854933602286089</v>
      </c>
    </row>
    <row r="54" spans="1:28" x14ac:dyDescent="0.3">
      <c r="A54" s="85" t="s">
        <v>45</v>
      </c>
      <c r="B54" s="2">
        <f>IFERROR(B50/B52,"N/A")</f>
        <v>0.81467139350968099</v>
      </c>
      <c r="C54" s="2">
        <f t="shared" ref="C54:D54" si="77">IFERROR(C50/C52,"N/A")</f>
        <v>0.83672759785416251</v>
      </c>
      <c r="D54" s="2">
        <f t="shared" si="77"/>
        <v>0.86942851072870198</v>
      </c>
      <c r="E54" s="2">
        <f t="shared" ref="E54:R54" si="78">IFERROR(E50/E52,"N/A")</f>
        <v>0.81090677831363611</v>
      </c>
      <c r="F54" s="2">
        <f t="shared" si="78"/>
        <v>0.81137498109211914</v>
      </c>
      <c r="G54" s="2">
        <f t="shared" si="78"/>
        <v>0.82429287504475479</v>
      </c>
      <c r="H54" s="2">
        <f t="shared" si="78"/>
        <v>0.85487384918124953</v>
      </c>
      <c r="I54" s="2">
        <f t="shared" si="78"/>
        <v>0.79865103435788332</v>
      </c>
      <c r="J54" s="2">
        <f t="shared" si="78"/>
        <v>0.80112693282082637</v>
      </c>
      <c r="K54" s="2">
        <f t="shared" si="78"/>
        <v>0.82533422723508298</v>
      </c>
      <c r="L54" s="2">
        <f t="shared" si="78"/>
        <v>0.85256038647342991</v>
      </c>
      <c r="M54" s="2">
        <f t="shared" si="78"/>
        <v>0.80178578810301349</v>
      </c>
      <c r="N54" s="2">
        <f t="shared" si="78"/>
        <v>0.82213820287989703</v>
      </c>
      <c r="O54" s="2">
        <f t="shared" si="78"/>
        <v>0.8307602038945322</v>
      </c>
      <c r="P54" s="2">
        <f t="shared" si="78"/>
        <v>0.85900956634577663</v>
      </c>
      <c r="Q54" s="2">
        <f t="shared" si="78"/>
        <v>0.81260254707399016</v>
      </c>
      <c r="R54" s="2">
        <f t="shared" si="78"/>
        <v>0.81845787207872078</v>
      </c>
      <c r="S54" s="2">
        <f t="shared" ref="S54:T54" si="79">IFERROR(S50/S52,"N/A")</f>
        <v>0.84066642780365464</v>
      </c>
      <c r="T54" s="2">
        <f t="shared" si="79"/>
        <v>0.86126259358535906</v>
      </c>
      <c r="U54" s="2">
        <f t="shared" ref="U54:Y54" si="80">IFERROR(U50/U52,"N/A")</f>
        <v>0.80976883205327077</v>
      </c>
      <c r="V54" s="2">
        <f t="shared" si="80"/>
        <v>0.74463017311045898</v>
      </c>
      <c r="W54" s="2">
        <f t="shared" si="80"/>
        <v>0.34908604547481054</v>
      </c>
      <c r="X54" s="2">
        <f t="shared" si="80"/>
        <v>0.42309631870902675</v>
      </c>
      <c r="Y54" s="2">
        <f t="shared" si="80"/>
        <v>0.40533333333333332</v>
      </c>
      <c r="Z54" s="2">
        <f t="shared" ref="Z54:AA54" si="81">IFERROR(Z50/Z52,"N/A")</f>
        <v>0.43481358347185939</v>
      </c>
      <c r="AA54" s="2">
        <f t="shared" si="81"/>
        <v>0.42175000000000001</v>
      </c>
      <c r="AB54" s="2">
        <f t="shared" ref="AB54" si="82">IFERROR(AB50/AB52,"N/A")</f>
        <v>0.71203670385030582</v>
      </c>
    </row>
    <row r="55" spans="1:28" x14ac:dyDescent="0.3">
      <c r="A55" s="85" t="s">
        <v>46</v>
      </c>
      <c r="B55" s="12">
        <f>'Interim Operational Data'!B27</f>
        <v>9487</v>
      </c>
      <c r="C55" s="12">
        <f>'Interim Operational Data'!C27</f>
        <v>10229</v>
      </c>
      <c r="D55" s="12">
        <f>'Interim Operational Data'!D27</f>
        <v>11723</v>
      </c>
      <c r="E55" s="12">
        <f>'Interim Operational Data'!E27</f>
        <v>9686</v>
      </c>
      <c r="F55" s="12">
        <f>'Interim Operational Data'!F27</f>
        <v>9957</v>
      </c>
      <c r="G55" s="12">
        <f>'Interim Operational Data'!G27</f>
        <v>10846</v>
      </c>
      <c r="H55" s="12">
        <f>'Interim Operational Data'!H27</f>
        <v>13327</v>
      </c>
      <c r="I55" s="12">
        <f>'Interim Operational Data'!I27</f>
        <v>10719</v>
      </c>
      <c r="J55" s="12">
        <f>'Interim Operational Data'!J27</f>
        <v>10924</v>
      </c>
      <c r="K55" s="12">
        <f>'Interim Operational Data'!K27</f>
        <v>11895</v>
      </c>
      <c r="L55" s="12">
        <f>'Interim Operational Data'!L27</f>
        <v>13993</v>
      </c>
      <c r="M55" s="12">
        <f>'Interim Operational Data'!M27</f>
        <v>11314</v>
      </c>
      <c r="N55" s="12">
        <f>'Interim Operational Data'!N27</f>
        <v>11654</v>
      </c>
      <c r="O55" s="12">
        <f>'Interim Operational Data'!O27</f>
        <v>12535</v>
      </c>
      <c r="P55" s="12">
        <f>'Interim Operational Data'!P27</f>
        <v>14806</v>
      </c>
      <c r="Q55" s="12">
        <f>'Interim Operational Data'!Q27</f>
        <v>11909</v>
      </c>
      <c r="R55" s="12">
        <f>'Interim Operational Data'!R27</f>
        <v>12031</v>
      </c>
      <c r="S55" s="12">
        <f>'Interim Operational Data'!S27</f>
        <v>12837</v>
      </c>
      <c r="T55" s="12">
        <f>'Interim Operational Data'!T27</f>
        <v>14627</v>
      </c>
      <c r="U55" s="12">
        <f>'Interim Operational Data'!U27</f>
        <v>12048</v>
      </c>
      <c r="V55" s="12">
        <f>'Interim Operational Data'!V27</f>
        <v>9927</v>
      </c>
      <c r="W55" s="12">
        <f>'Interim Operational Data'!W27</f>
        <v>480</v>
      </c>
      <c r="X55" s="12">
        <f>'Interim Operational Data'!X27</f>
        <v>1728</v>
      </c>
      <c r="Y55" s="12">
        <f>'Interim Operational Data'!Y27</f>
        <v>1625</v>
      </c>
      <c r="Z55" s="12">
        <f>'Interim Operational Data'!Z27</f>
        <v>1124</v>
      </c>
      <c r="AA55" s="12">
        <f>'Interim Operational Data'!AA27</f>
        <v>1165</v>
      </c>
      <c r="AB55" s="12">
        <f>'Interim Operational Data'!AB27</f>
        <v>5067</v>
      </c>
    </row>
    <row r="56" spans="1:28" x14ac:dyDescent="0.3">
      <c r="A56" s="8" t="s">
        <v>10</v>
      </c>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1:28" x14ac:dyDescent="0.3">
      <c r="A57" s="85" t="s">
        <v>461</v>
      </c>
      <c r="B57" s="5">
        <f>IFERROR(B8*1000/B55, "N/A")</f>
        <v>293.66501528407292</v>
      </c>
      <c r="C57" s="5">
        <f t="shared" ref="C57:D57" si="83">IFERROR(C8*1000/C55, "N/A")</f>
        <v>301.30022485091405</v>
      </c>
      <c r="D57" s="5">
        <f t="shared" si="83"/>
        <v>316.98370724217352</v>
      </c>
      <c r="E57" s="5">
        <f t="shared" ref="E57:R57" si="84">IFERROR(E8*1000/E55, "N/A")</f>
        <v>292.79372289902955</v>
      </c>
      <c r="F57" s="5">
        <f t="shared" si="84"/>
        <v>287.6368384051421</v>
      </c>
      <c r="G57" s="5">
        <f t="shared" si="84"/>
        <v>289.78425225889731</v>
      </c>
      <c r="H57" s="5">
        <f t="shared" si="84"/>
        <v>308.09634576423804</v>
      </c>
      <c r="I57" s="5">
        <f t="shared" si="84"/>
        <v>283.14208414964082</v>
      </c>
      <c r="J57" s="5">
        <f t="shared" si="84"/>
        <v>283.32112779201759</v>
      </c>
      <c r="K57" s="5">
        <f t="shared" si="84"/>
        <v>295.67044976881044</v>
      </c>
      <c r="L57" s="5">
        <f t="shared" si="84"/>
        <v>320.01715143285929</v>
      </c>
      <c r="M57" s="5">
        <f t="shared" si="84"/>
        <v>298.83330387130991</v>
      </c>
      <c r="N57" s="5">
        <f t="shared" si="84"/>
        <v>299.38218637377724</v>
      </c>
      <c r="O57" s="5">
        <f t="shared" si="84"/>
        <v>312.80414838452333</v>
      </c>
      <c r="P57" s="5">
        <f t="shared" si="84"/>
        <v>338.91665540996894</v>
      </c>
      <c r="Q57" s="5">
        <f t="shared" si="84"/>
        <v>318.66655470652449</v>
      </c>
      <c r="R57" s="5">
        <f t="shared" si="84"/>
        <v>317.18061674008811</v>
      </c>
      <c r="S57" s="5">
        <f t="shared" ref="S57:T57" si="85">IFERROR(S8*1000/S55, "N/A")</f>
        <v>337.92942276232765</v>
      </c>
      <c r="T57" s="5">
        <f t="shared" si="85"/>
        <v>353.04573733506527</v>
      </c>
      <c r="U57" s="5">
        <f t="shared" ref="U57:Y57" si="86">IFERROR(U8*1000/U55, "N/A")</f>
        <v>324.86719787516603</v>
      </c>
      <c r="V57" s="5">
        <f t="shared" si="86"/>
        <v>321.6480306235519</v>
      </c>
      <c r="W57" s="5">
        <f t="shared" si="86"/>
        <v>431.25</v>
      </c>
      <c r="X57" s="5">
        <f t="shared" si="86"/>
        <v>293.40277777777777</v>
      </c>
      <c r="Y57" s="5">
        <f t="shared" si="86"/>
        <v>292.30769230769232</v>
      </c>
      <c r="Z57" s="5">
        <f t="shared" ref="Z57:AA57" si="87">IFERROR(Z8*1000/Z55, "N/A")</f>
        <v>351.42348754448398</v>
      </c>
      <c r="AA57" s="5">
        <f t="shared" si="87"/>
        <v>365.66523605150212</v>
      </c>
      <c r="AB57" s="5">
        <f t="shared" ref="AB57" si="88">IFERROR(AB8*1000/AB55, "N/A")</f>
        <v>322.87349516479179</v>
      </c>
    </row>
    <row r="58" spans="1:28" x14ac:dyDescent="0.3">
      <c r="A58" s="85" t="s">
        <v>0</v>
      </c>
      <c r="B58" s="40"/>
      <c r="C58" s="2" t="str">
        <f ca="1">IFERROR(IF(Inputs!$E$14 = "Semi-annual",(C57/OFFSET(C57,0,-2,,))-1,(C57/OFFSET(C57,0,-4,,))-1),"")</f>
        <v/>
      </c>
      <c r="D58" s="2" t="str">
        <f ca="1">IFERROR(IF(Inputs!$E$14 = "Semi-annual",(D57/OFFSET(D57,0,-2,,))-1,(D57/OFFSET(D57,0,-4,,))-1),"")</f>
        <v/>
      </c>
      <c r="E58" s="2" t="str">
        <f ca="1">IFERROR(IF(Inputs!$E$14 = "Semi-annual",(E57/OFFSET(E57,0,-2,,))-1,(E57/OFFSET(E57,0,-4,,))-1),"")</f>
        <v/>
      </c>
      <c r="F58" s="2">
        <f ca="1">IFERROR(IF(Inputs!$E$14 = "Semi-annual",(F57/OFFSET(F57,0,-2,,))-1,(F57/OFFSET(F57,0,-4,,))-1),"")</f>
        <v>-2.0527391977895437E-2</v>
      </c>
      <c r="G58" s="2">
        <f ca="1">IFERROR(IF(Inputs!$E$14 = "Semi-annual",(G57/OFFSET(G57,0,-2,,))-1,(G57/OFFSET(G57,0,-4,,))-1),"")</f>
        <v>-3.8220922661823198E-2</v>
      </c>
      <c r="H58" s="2">
        <f ca="1">IFERROR(IF(Inputs!$E$14 = "Semi-annual",(H57/OFFSET(H57,0,-2,,))-1,(H57/OFFSET(H57,0,-4,,))-1),"")</f>
        <v>-2.8037281648503165E-2</v>
      </c>
      <c r="I58" s="2">
        <f ca="1">IFERROR(IF(Inputs!$E$14 = "Semi-annual",(I57/OFFSET(I57,0,-2,,))-1,(I57/OFFSET(I57,0,-4,,))-1),"")</f>
        <v>-3.2963953782291666E-2</v>
      </c>
      <c r="J58" s="2">
        <f ca="1">IFERROR(IF(Inputs!$E$14 = "Semi-annual",(J57/OFFSET(J57,0,-2,,))-1,(J57/OFFSET(J57,0,-4,,))-1),"")</f>
        <v>-1.5004026038715312E-2</v>
      </c>
      <c r="K58" s="2">
        <f ca="1">IFERROR(IF(Inputs!$E$14 = "Semi-annual",(K57/OFFSET(K57,0,-2,,))-1,(K57/OFFSET(K57,0,-4,,))-1),"")</f>
        <v>2.0312344318332176E-2</v>
      </c>
      <c r="L58" s="2">
        <f ca="1">IFERROR(IF(Inputs!$E$14 = "Semi-annual",(L57/OFFSET(L57,0,-2,,))-1,(L57/OFFSET(L57,0,-4,,))-1),"")</f>
        <v>3.8691811287314914E-2</v>
      </c>
      <c r="M58" s="2">
        <f ca="1">IFERROR(IF(Inputs!$E$14 = "Semi-annual",(M57/OFFSET(M57,0,-2,,))-1,(M57/OFFSET(M57,0,-4,,))-1),"")</f>
        <v>5.5418182601835619E-2</v>
      </c>
      <c r="N58" s="2">
        <f ca="1">IFERROR(IF(Inputs!$E$14 = "Semi-annual",(N57/OFFSET(N57,0,-2,,))-1,(N57/OFFSET(N57,0,-4,,))-1),"")</f>
        <v>5.668853116224315E-2</v>
      </c>
      <c r="O58" s="2">
        <f ca="1">IFERROR(IF(Inputs!$E$14 = "Semi-annual",(O57/OFFSET(O57,0,-2,,))-1,(O57/OFFSET(O57,0,-4,,))-1),"")</f>
        <v>5.794863378842896E-2</v>
      </c>
      <c r="P58" s="2">
        <f ca="1">IFERROR(IF(Inputs!$E$14 = "Semi-annual",(P57/OFFSET(P57,0,-2,,))-1,(P57/OFFSET(P57,0,-4,,))-1),"")</f>
        <v>5.9057784535885505E-2</v>
      </c>
      <c r="Q58" s="2">
        <f ca="1">IFERROR(IF(Inputs!$E$14 = "Semi-annual",(Q57/OFFSET(Q57,0,-2,,))-1,(Q57/OFFSET(Q57,0,-4,,))-1),"")</f>
        <v>6.6368944084477244E-2</v>
      </c>
      <c r="R58" s="2">
        <f ca="1">IFERROR(IF(Inputs!$E$14 = "Semi-annual",(R57/OFFSET(R57,0,-2,,))-1,(R57/OFFSET(R57,0,-4,,))-1),"")</f>
        <v>5.9450532384347055E-2</v>
      </c>
      <c r="S58" s="2">
        <f ca="1">IFERROR(IF(Inputs!$E$14 = "Semi-annual",(S57/OFFSET(S57,0,-2,,))-1,(S57/OFFSET(S57,0,-4,,))-1),"")</f>
        <v>8.0322701944855135E-2</v>
      </c>
      <c r="T58" s="2">
        <f ca="1">IFERROR(IF(Inputs!$E$14 = "Semi-annual",(T57/OFFSET(T57,0,-2,,))-1,(T57/OFFSET(T57,0,-4,,))-1),"")</f>
        <v>4.168895715085208E-2</v>
      </c>
      <c r="U58" s="2">
        <f ca="1">IFERROR(IF(Inputs!$E$14 = "Semi-annual",(U57/OFFSET(U57,0,-2,,))-1,(U57/OFFSET(U57,0,-4,,))-1),"")</f>
        <v>1.9458092093636914E-2</v>
      </c>
      <c r="V58" s="2">
        <f ca="1">IFERROR(IF(Inputs!$E$14 = "Semi-annual",(V57/OFFSET(V57,0,-2,,))-1,(V57/OFFSET(V57,0,-4,,))-1),"")</f>
        <v>1.408476321592067E-2</v>
      </c>
      <c r="W58" s="2">
        <f ca="1">IFERROR(IF(Inputs!$E$14 = "Semi-annual",(W57/OFFSET(W57,0,-2,,))-1,(W57/OFFSET(W57,0,-4,,))-1),"")</f>
        <v>0.27615404564315349</v>
      </c>
      <c r="X58" s="2">
        <f ca="1">IFERROR(IF(Inputs!$E$14 = "Semi-annual",(X57/OFFSET(X57,0,-2,,))-1,(X57/OFFSET(X57,0,-4,,))-1),"")</f>
        <v>-0.16893833645322309</v>
      </c>
      <c r="Y58" s="2">
        <f ca="1">IFERROR(IF(Inputs!$E$14 = "Semi-annual",(Y57/OFFSET(Y57,0,-2,,))-1,(Y57/OFFSET(Y57,0,-4,,))-1),"")</f>
        <v>-0.10022404779686334</v>
      </c>
      <c r="Z58" s="2">
        <f ca="1">IFERROR(IF(Inputs!$E$14 = "Semi-annual",(Z57/OFFSET(Z57,0,-2,,))-1,(Z57/OFFSET(Z57,0,-4,,))-1),"")</f>
        <v>9.2571550533696367E-2</v>
      </c>
      <c r="AA58" s="2">
        <f ca="1">IFERROR(IF(Inputs!$E$14 = "Semi-annual",(AA57/OFFSET(AA57,0,-2,,))-1,(AA57/OFFSET(AA57,0,-4,,))-1),"")</f>
        <v>-0.15208061205448786</v>
      </c>
      <c r="AB58" s="2">
        <f ca="1">IFERROR(IF(Inputs!$E$14 = "Semi-annual",(AB57/OFFSET(AB57,0,-2,,))-1,(AB57/OFFSET(AB57,0,-4,,))-1),"")</f>
        <v>0.10044457523621353</v>
      </c>
    </row>
    <row r="59" spans="1:28" x14ac:dyDescent="0.3">
      <c r="A59" s="85" t="s">
        <v>616</v>
      </c>
      <c r="B59" s="5">
        <f>IFERROR(B9*1000/B55, "N/A")</f>
        <v>0</v>
      </c>
      <c r="C59" s="5">
        <f t="shared" ref="C59:D59" si="89">IFERROR(C9*1000/C55, "N/A")</f>
        <v>0</v>
      </c>
      <c r="D59" s="5">
        <f t="shared" si="89"/>
        <v>0</v>
      </c>
      <c r="E59" s="5">
        <f t="shared" ref="E59:R59" si="90">IFERROR(E9*1000/E55, "N/A")</f>
        <v>0</v>
      </c>
      <c r="F59" s="5">
        <f t="shared" si="90"/>
        <v>0</v>
      </c>
      <c r="G59" s="5">
        <f t="shared" si="90"/>
        <v>0</v>
      </c>
      <c r="H59" s="5">
        <f t="shared" si="90"/>
        <v>0</v>
      </c>
      <c r="I59" s="5">
        <f t="shared" si="90"/>
        <v>0</v>
      </c>
      <c r="J59" s="5">
        <f t="shared" si="90"/>
        <v>0</v>
      </c>
      <c r="K59" s="5">
        <f t="shared" si="90"/>
        <v>0</v>
      </c>
      <c r="L59" s="5">
        <f t="shared" si="90"/>
        <v>0</v>
      </c>
      <c r="M59" s="5">
        <f t="shared" si="90"/>
        <v>0</v>
      </c>
      <c r="N59" s="5">
        <f t="shared" si="90"/>
        <v>0</v>
      </c>
      <c r="O59" s="5">
        <f t="shared" si="90"/>
        <v>0</v>
      </c>
      <c r="P59" s="5">
        <f t="shared" si="90"/>
        <v>0</v>
      </c>
      <c r="Q59" s="5">
        <f t="shared" si="90"/>
        <v>0</v>
      </c>
      <c r="R59" s="5">
        <f t="shared" si="90"/>
        <v>0</v>
      </c>
      <c r="S59" s="5">
        <f t="shared" ref="S59:T59" si="91">IFERROR(S9*1000/S55, "N/A")</f>
        <v>0</v>
      </c>
      <c r="T59" s="5">
        <f t="shared" si="91"/>
        <v>0</v>
      </c>
      <c r="U59" s="5">
        <f t="shared" ref="U59:Y59" si="92">IFERROR(U9*1000/U55, "N/A")</f>
        <v>0</v>
      </c>
      <c r="V59" s="5">
        <f t="shared" si="92"/>
        <v>0</v>
      </c>
      <c r="W59" s="5">
        <f t="shared" si="92"/>
        <v>0</v>
      </c>
      <c r="X59" s="5">
        <f t="shared" si="92"/>
        <v>0</v>
      </c>
      <c r="Y59" s="5">
        <f t="shared" si="92"/>
        <v>0</v>
      </c>
      <c r="Z59" s="5">
        <f t="shared" ref="Z59:AA59" si="93">IFERROR(Z9*1000/Z55, "N/A")</f>
        <v>0</v>
      </c>
      <c r="AA59" s="5">
        <f t="shared" si="93"/>
        <v>0</v>
      </c>
      <c r="AB59" s="5">
        <f t="shared" ref="AB59" si="94">IFERROR(AB9*1000/AB55, "N/A")</f>
        <v>0</v>
      </c>
    </row>
    <row r="60" spans="1:28" x14ac:dyDescent="0.3">
      <c r="A60" s="85" t="s">
        <v>0</v>
      </c>
      <c r="B60" s="40"/>
      <c r="C60" s="2" t="str">
        <f ca="1">IFERROR(IF(Inputs!$E$14 = "Semi-annual",(C59/OFFSET(C59,0,-2,,))-1,(C59/OFFSET(C59,0,-4,,))-1),"")</f>
        <v/>
      </c>
      <c r="D60" s="2" t="str">
        <f ca="1">IFERROR(IF(Inputs!$E$14 = "Semi-annual",(D59/OFFSET(D59,0,-2,,))-1,(D59/OFFSET(D59,0,-4,,))-1),"")</f>
        <v/>
      </c>
      <c r="E60" s="2" t="str">
        <f ca="1">IFERROR(IF(Inputs!$E$14 = "Semi-annual",(E59/OFFSET(E59,0,-2,,))-1,(E59/OFFSET(E59,0,-4,,))-1),"")</f>
        <v/>
      </c>
      <c r="F60" s="2" t="str">
        <f ca="1">IFERROR(IF(Inputs!$E$14 = "Semi-annual",(F59/OFFSET(F59,0,-2,,))-1,(F59/OFFSET(F59,0,-4,,))-1),"")</f>
        <v/>
      </c>
      <c r="G60" s="2" t="str">
        <f ca="1">IFERROR(IF(Inputs!$E$14 = "Semi-annual",(G59/OFFSET(G59,0,-2,,))-1,(G59/OFFSET(G59,0,-4,,))-1),"")</f>
        <v/>
      </c>
      <c r="H60" s="2" t="str">
        <f ca="1">IFERROR(IF(Inputs!$E$14 = "Semi-annual",(H59/OFFSET(H59,0,-2,,))-1,(H59/OFFSET(H59,0,-4,,))-1),"")</f>
        <v/>
      </c>
      <c r="I60" s="2" t="str">
        <f ca="1">IFERROR(IF(Inputs!$E$14 = "Semi-annual",(I59/OFFSET(I59,0,-2,,))-1,(I59/OFFSET(I59,0,-4,,))-1),"")</f>
        <v/>
      </c>
      <c r="J60" s="2" t="str">
        <f ca="1">IFERROR(IF(Inputs!$E$14 = "Semi-annual",(J59/OFFSET(J59,0,-2,,))-1,(J59/OFFSET(J59,0,-4,,))-1),"")</f>
        <v/>
      </c>
      <c r="K60" s="2" t="str">
        <f ca="1">IFERROR(IF(Inputs!$E$14 = "Semi-annual",(K59/OFFSET(K59,0,-2,,))-1,(K59/OFFSET(K59,0,-4,,))-1),"")</f>
        <v/>
      </c>
      <c r="L60" s="2" t="str">
        <f ca="1">IFERROR(IF(Inputs!$E$14 = "Semi-annual",(L59/OFFSET(L59,0,-2,,))-1,(L59/OFFSET(L59,0,-4,,))-1),"")</f>
        <v/>
      </c>
      <c r="M60" s="2" t="str">
        <f ca="1">IFERROR(IF(Inputs!$E$14 = "Semi-annual",(M59/OFFSET(M59,0,-2,,))-1,(M59/OFFSET(M59,0,-4,,))-1),"")</f>
        <v/>
      </c>
      <c r="N60" s="2" t="str">
        <f ca="1">IFERROR(IF(Inputs!$E$14 = "Semi-annual",(N59/OFFSET(N59,0,-2,,))-1,(N59/OFFSET(N59,0,-4,,))-1),"")</f>
        <v/>
      </c>
      <c r="O60" s="2" t="str">
        <f ca="1">IFERROR(IF(Inputs!$E$14 = "Semi-annual",(O59/OFFSET(O59,0,-2,,))-1,(O59/OFFSET(O59,0,-4,,))-1),"")</f>
        <v/>
      </c>
      <c r="P60" s="2" t="str">
        <f ca="1">IFERROR(IF(Inputs!$E$14 = "Semi-annual",(P59/OFFSET(P59,0,-2,,))-1,(P59/OFFSET(P59,0,-4,,))-1),"")</f>
        <v/>
      </c>
      <c r="Q60" s="2" t="str">
        <f ca="1">IFERROR(IF(Inputs!$E$14 = "Semi-annual",(Q59/OFFSET(Q59,0,-2,,))-1,(Q59/OFFSET(Q59,0,-4,,))-1),"")</f>
        <v/>
      </c>
      <c r="R60" s="2" t="str">
        <f ca="1">IFERROR(IF(Inputs!$E$14 = "Semi-annual",(R59/OFFSET(R59,0,-2,,))-1,(R59/OFFSET(R59,0,-4,,))-1),"")</f>
        <v/>
      </c>
      <c r="S60" s="2" t="str">
        <f ca="1">IFERROR(IF(Inputs!$E$14 = "Semi-annual",(S59/OFFSET(S59,0,-2,,))-1,(S59/OFFSET(S59,0,-4,,))-1),"")</f>
        <v/>
      </c>
      <c r="T60" s="2" t="str">
        <f ca="1">IFERROR(IF(Inputs!$E$14 = "Semi-annual",(T59/OFFSET(T59,0,-2,,))-1,(T59/OFFSET(T59,0,-4,,))-1),"")</f>
        <v/>
      </c>
      <c r="U60" s="2" t="str">
        <f ca="1">IFERROR(IF(Inputs!$E$14 = "Semi-annual",(U59/OFFSET(U59,0,-2,,))-1,(U59/OFFSET(U59,0,-4,,))-1),"")</f>
        <v/>
      </c>
      <c r="V60" s="2" t="str">
        <f ca="1">IFERROR(IF(Inputs!$E$14 = "Semi-annual",(V59/OFFSET(V59,0,-2,,))-1,(V59/OFFSET(V59,0,-4,,))-1),"")</f>
        <v/>
      </c>
      <c r="W60" s="2" t="str">
        <f ca="1">IFERROR(IF(Inputs!$E$14 = "Semi-annual",(W59/OFFSET(W59,0,-2,,))-1,(W59/OFFSET(W59,0,-4,,))-1),"")</f>
        <v/>
      </c>
      <c r="X60" s="2" t="str">
        <f ca="1">IFERROR(IF(Inputs!$E$14 = "Semi-annual",(X59/OFFSET(X59,0,-2,,))-1,(X59/OFFSET(X59,0,-4,,))-1),"")</f>
        <v/>
      </c>
      <c r="Y60" s="2" t="str">
        <f ca="1">IFERROR(IF(Inputs!$E$14 = "Semi-annual",(Y59/OFFSET(Y59,0,-2,,))-1,(Y59/OFFSET(Y59,0,-4,,))-1),"")</f>
        <v/>
      </c>
      <c r="Z60" s="2" t="str">
        <f ca="1">IFERROR(IF(Inputs!$E$14 = "Semi-annual",(Z59/OFFSET(Z59,0,-2,,))-1,(Z59/OFFSET(Z59,0,-4,,))-1),"")</f>
        <v/>
      </c>
      <c r="AA60" s="2" t="str">
        <f ca="1">IFERROR(IF(Inputs!$E$14 = "Semi-annual",(AA59/OFFSET(AA59,0,-2,,))-1,(AA59/OFFSET(AA59,0,-4,,))-1),"")</f>
        <v/>
      </c>
      <c r="AB60" s="2" t="str">
        <f ca="1">IFERROR(IF(Inputs!$E$14 = "Semi-annual",(AB59/OFFSET(AB59,0,-2,,))-1,(AB59/OFFSET(AB59,0,-4,,))-1),"")</f>
        <v/>
      </c>
    </row>
    <row r="61" spans="1:28" x14ac:dyDescent="0.3">
      <c r="A61" s="85" t="s">
        <v>617</v>
      </c>
      <c r="B61" s="5">
        <f>IFERROR((B8+B9)*1000/B55, "N/A")</f>
        <v>293.66501528407292</v>
      </c>
      <c r="C61" s="5">
        <f t="shared" ref="C61:D61" si="95">IFERROR((C8+C9)*1000/C55, "N/A")</f>
        <v>301.30022485091405</v>
      </c>
      <c r="D61" s="5">
        <f t="shared" si="95"/>
        <v>316.98370724217352</v>
      </c>
      <c r="E61" s="5">
        <f t="shared" ref="E61:R61" si="96">IFERROR((E8+E9)*1000/E55, "N/A")</f>
        <v>292.79372289902955</v>
      </c>
      <c r="F61" s="5">
        <f t="shared" si="96"/>
        <v>287.6368384051421</v>
      </c>
      <c r="G61" s="5">
        <f t="shared" si="96"/>
        <v>289.78425225889731</v>
      </c>
      <c r="H61" s="5">
        <f t="shared" si="96"/>
        <v>308.09634576423804</v>
      </c>
      <c r="I61" s="5">
        <f t="shared" si="96"/>
        <v>283.14208414964082</v>
      </c>
      <c r="J61" s="5">
        <f t="shared" si="96"/>
        <v>283.32112779201759</v>
      </c>
      <c r="K61" s="5">
        <f t="shared" si="96"/>
        <v>295.67044976881044</v>
      </c>
      <c r="L61" s="5">
        <f t="shared" si="96"/>
        <v>320.01715143285929</v>
      </c>
      <c r="M61" s="5">
        <f t="shared" si="96"/>
        <v>298.83330387130991</v>
      </c>
      <c r="N61" s="5">
        <f t="shared" si="96"/>
        <v>299.38218637377724</v>
      </c>
      <c r="O61" s="5">
        <f t="shared" si="96"/>
        <v>312.80414838452333</v>
      </c>
      <c r="P61" s="5">
        <f t="shared" si="96"/>
        <v>338.91665540996894</v>
      </c>
      <c r="Q61" s="5">
        <f t="shared" si="96"/>
        <v>318.66655470652449</v>
      </c>
      <c r="R61" s="5">
        <f t="shared" si="96"/>
        <v>317.18061674008811</v>
      </c>
      <c r="S61" s="5">
        <f t="shared" ref="S61:T61" si="97">IFERROR((S8+S9)*1000/S55, "N/A")</f>
        <v>337.92942276232765</v>
      </c>
      <c r="T61" s="5">
        <f t="shared" si="97"/>
        <v>353.04573733506527</v>
      </c>
      <c r="U61" s="5">
        <f t="shared" ref="U61:Y61" si="98">IFERROR((U8+U9)*1000/U55, "N/A")</f>
        <v>324.86719787516603</v>
      </c>
      <c r="V61" s="5">
        <f t="shared" si="98"/>
        <v>321.6480306235519</v>
      </c>
      <c r="W61" s="5">
        <f t="shared" si="98"/>
        <v>431.25</v>
      </c>
      <c r="X61" s="5">
        <f t="shared" si="98"/>
        <v>293.40277777777777</v>
      </c>
      <c r="Y61" s="5">
        <f t="shared" si="98"/>
        <v>292.30769230769232</v>
      </c>
      <c r="Z61" s="5">
        <f t="shared" ref="Z61:AA61" si="99">IFERROR((Z8+Z9)*1000/Z55, "N/A")</f>
        <v>351.42348754448398</v>
      </c>
      <c r="AA61" s="5">
        <f t="shared" si="99"/>
        <v>365.66523605150212</v>
      </c>
      <c r="AB61" s="5">
        <f t="shared" ref="AB61" si="100">IFERROR((AB8+AB9)*1000/AB55, "N/A")</f>
        <v>322.87349516479179</v>
      </c>
    </row>
    <row r="62" spans="1:28" x14ac:dyDescent="0.3">
      <c r="A62" s="85" t="s">
        <v>0</v>
      </c>
      <c r="B62" s="40"/>
      <c r="C62" s="2" t="str">
        <f ca="1">IFERROR(IF(Inputs!$E$14 = "Semi-annual",(C61/OFFSET(C61,0,-2,,))-1,(C61/OFFSET(C61,0,-4,,))-1),"")</f>
        <v/>
      </c>
      <c r="D62" s="2" t="str">
        <f ca="1">IFERROR(IF(Inputs!$E$14 = "Semi-annual",(D61/OFFSET(D61,0,-2,,))-1,(D61/OFFSET(D61,0,-4,,))-1),"")</f>
        <v/>
      </c>
      <c r="E62" s="2" t="str">
        <f ca="1">IFERROR(IF(Inputs!$E$14 = "Semi-annual",(E61/OFFSET(E61,0,-2,,))-1,(E61/OFFSET(E61,0,-4,,))-1),"")</f>
        <v/>
      </c>
      <c r="F62" s="2">
        <f ca="1">IFERROR(IF(Inputs!$E$14 = "Semi-annual",(F61/OFFSET(F61,0,-2,,))-1,(F61/OFFSET(F61,0,-4,,))-1),"")</f>
        <v>-2.0527391977895437E-2</v>
      </c>
      <c r="G62" s="2">
        <f ca="1">IFERROR(IF(Inputs!$E$14 = "Semi-annual",(G61/OFFSET(G61,0,-2,,))-1,(G61/OFFSET(G61,0,-4,,))-1),"")</f>
        <v>-3.8220922661823198E-2</v>
      </c>
      <c r="H62" s="2">
        <f ca="1">IFERROR(IF(Inputs!$E$14 = "Semi-annual",(H61/OFFSET(H61,0,-2,,))-1,(H61/OFFSET(H61,0,-4,,))-1),"")</f>
        <v>-2.8037281648503165E-2</v>
      </c>
      <c r="I62" s="2">
        <f ca="1">IFERROR(IF(Inputs!$E$14 = "Semi-annual",(I61/OFFSET(I61,0,-2,,))-1,(I61/OFFSET(I61,0,-4,,))-1),"")</f>
        <v>-3.2963953782291666E-2</v>
      </c>
      <c r="J62" s="2">
        <f ca="1">IFERROR(IF(Inputs!$E$14 = "Semi-annual",(J61/OFFSET(J61,0,-2,,))-1,(J61/OFFSET(J61,0,-4,,))-1),"")</f>
        <v>-1.5004026038715312E-2</v>
      </c>
      <c r="K62" s="2">
        <f ca="1">IFERROR(IF(Inputs!$E$14 = "Semi-annual",(K61/OFFSET(K61,0,-2,,))-1,(K61/OFFSET(K61,0,-4,,))-1),"")</f>
        <v>2.0312344318332176E-2</v>
      </c>
      <c r="L62" s="2">
        <f ca="1">IFERROR(IF(Inputs!$E$14 = "Semi-annual",(L61/OFFSET(L61,0,-2,,))-1,(L61/OFFSET(L61,0,-4,,))-1),"")</f>
        <v>3.8691811287314914E-2</v>
      </c>
      <c r="M62" s="2">
        <f ca="1">IFERROR(IF(Inputs!$E$14 = "Semi-annual",(M61/OFFSET(M61,0,-2,,))-1,(M61/OFFSET(M61,0,-4,,))-1),"")</f>
        <v>5.5418182601835619E-2</v>
      </c>
      <c r="N62" s="2">
        <f ca="1">IFERROR(IF(Inputs!$E$14 = "Semi-annual",(N61/OFFSET(N61,0,-2,,))-1,(N61/OFFSET(N61,0,-4,,))-1),"")</f>
        <v>5.668853116224315E-2</v>
      </c>
      <c r="O62" s="2">
        <f ca="1">IFERROR(IF(Inputs!$E$14 = "Semi-annual",(O61/OFFSET(O61,0,-2,,))-1,(O61/OFFSET(O61,0,-4,,))-1),"")</f>
        <v>5.794863378842896E-2</v>
      </c>
      <c r="P62" s="2">
        <f ca="1">IFERROR(IF(Inputs!$E$14 = "Semi-annual",(P61/OFFSET(P61,0,-2,,))-1,(P61/OFFSET(P61,0,-4,,))-1),"")</f>
        <v>5.9057784535885505E-2</v>
      </c>
      <c r="Q62" s="2">
        <f ca="1">IFERROR(IF(Inputs!$E$14 = "Semi-annual",(Q61/OFFSET(Q61,0,-2,,))-1,(Q61/OFFSET(Q61,0,-4,,))-1),"")</f>
        <v>6.6368944084477244E-2</v>
      </c>
      <c r="R62" s="2">
        <f ca="1">IFERROR(IF(Inputs!$E$14 = "Semi-annual",(R61/OFFSET(R61,0,-2,,))-1,(R61/OFFSET(R61,0,-4,,))-1),"")</f>
        <v>5.9450532384347055E-2</v>
      </c>
      <c r="S62" s="2">
        <f ca="1">IFERROR(IF(Inputs!$E$14 = "Semi-annual",(S61/OFFSET(S61,0,-2,,))-1,(S61/OFFSET(S61,0,-4,,))-1),"")</f>
        <v>8.0322701944855135E-2</v>
      </c>
      <c r="T62" s="2">
        <f ca="1">IFERROR(IF(Inputs!$E$14 = "Semi-annual",(T61/OFFSET(T61,0,-2,,))-1,(T61/OFFSET(T61,0,-4,,))-1),"")</f>
        <v>4.168895715085208E-2</v>
      </c>
      <c r="U62" s="2">
        <f ca="1">IFERROR(IF(Inputs!$E$14 = "Semi-annual",(U61/OFFSET(U61,0,-2,,))-1,(U61/OFFSET(U61,0,-4,,))-1),"")</f>
        <v>1.9458092093636914E-2</v>
      </c>
      <c r="V62" s="2">
        <f ca="1">IFERROR(IF(Inputs!$E$14 = "Semi-annual",(V61/OFFSET(V61,0,-2,,))-1,(V61/OFFSET(V61,0,-4,,))-1),"")</f>
        <v>1.408476321592067E-2</v>
      </c>
      <c r="W62" s="2">
        <f ca="1">IFERROR(IF(Inputs!$E$14 = "Semi-annual",(W61/OFFSET(W61,0,-2,,))-1,(W61/OFFSET(W61,0,-4,,))-1),"")</f>
        <v>0.27615404564315349</v>
      </c>
      <c r="X62" s="2">
        <f ca="1">IFERROR(IF(Inputs!$E$14 = "Semi-annual",(X61/OFFSET(X61,0,-2,,))-1,(X61/OFFSET(X61,0,-4,,))-1),"")</f>
        <v>-0.16893833645322309</v>
      </c>
      <c r="Y62" s="2">
        <f ca="1">IFERROR(IF(Inputs!$E$14 = "Semi-annual",(Y61/OFFSET(Y61,0,-2,,))-1,(Y61/OFFSET(Y61,0,-4,,))-1),"")</f>
        <v>-0.10022404779686334</v>
      </c>
      <c r="Z62" s="2">
        <f ca="1">IFERROR(IF(Inputs!$E$14 = "Semi-annual",(Z61/OFFSET(Z61,0,-2,,))-1,(Z61/OFFSET(Z61,0,-4,,))-1),"")</f>
        <v>9.2571550533696367E-2</v>
      </c>
      <c r="AA62" s="2">
        <f ca="1">IFERROR(IF(Inputs!$E$14 = "Semi-annual",(AA61/OFFSET(AA61,0,-2,,))-1,(AA61/OFFSET(AA61,0,-4,,))-1),"")</f>
        <v>-0.15208061205448786</v>
      </c>
      <c r="AB62" s="2">
        <f ca="1">IFERROR(IF(Inputs!$E$14 = "Semi-annual",(AB61/OFFSET(AB61,0,-2,,))-1,(AB61/OFFSET(AB61,0,-4,,))-1),"")</f>
        <v>0.10044457523621353</v>
      </c>
    </row>
    <row r="63" spans="1:28" x14ac:dyDescent="0.3">
      <c r="A63" s="85" t="str">
        <f>IF(Inputs!$E$10 = "miles", "Total Yield Total Revenue/RPM [cents]", "Total Yield {Total Revenue/RPK} [cents]")</f>
        <v>Total Yield Total Revenue/RPM [cents]</v>
      </c>
      <c r="B63" s="5">
        <f t="shared" ref="B63:D63" si="101">IFERROR(B13*100/B50, "N/A")</f>
        <v>21.751355693914441</v>
      </c>
      <c r="C63" s="5">
        <f t="shared" si="101"/>
        <v>20.267141585040072</v>
      </c>
      <c r="D63" s="5">
        <f t="shared" si="101"/>
        <v>19.660834718013881</v>
      </c>
      <c r="E63" s="5">
        <f t="shared" ref="E63:R63" si="102">IFERROR(E13*100/E50, "N/A")</f>
        <v>20.796026403503038</v>
      </c>
      <c r="F63" s="5">
        <f t="shared" si="102"/>
        <v>20.774297787720606</v>
      </c>
      <c r="G63" s="5">
        <f t="shared" si="102"/>
        <v>18.775111304158976</v>
      </c>
      <c r="H63" s="5">
        <f t="shared" si="102"/>
        <v>18.295790858270305</v>
      </c>
      <c r="I63" s="5">
        <f t="shared" si="102"/>
        <v>19.412798276937028</v>
      </c>
      <c r="J63" s="5">
        <f t="shared" si="102"/>
        <v>19.857150646093451</v>
      </c>
      <c r="K63" s="5">
        <f t="shared" si="102"/>
        <v>18.683103975535168</v>
      </c>
      <c r="L63" s="5">
        <f t="shared" si="102"/>
        <v>18.434572378362041</v>
      </c>
      <c r="M63" s="5">
        <f t="shared" si="102"/>
        <v>19.694782429366878</v>
      </c>
      <c r="N63" s="5">
        <f t="shared" si="102"/>
        <v>19.916829745596868</v>
      </c>
      <c r="O63" s="5">
        <f t="shared" si="102"/>
        <v>19.126865012801272</v>
      </c>
      <c r="P63" s="5">
        <f t="shared" si="102"/>
        <v>19.023362023537679</v>
      </c>
      <c r="Q63" s="5">
        <f t="shared" si="102"/>
        <v>20.412480169222633</v>
      </c>
      <c r="R63" s="5">
        <f t="shared" si="102"/>
        <v>20.912976095430423</v>
      </c>
      <c r="S63" s="5">
        <f t="shared" ref="S63:T63" si="103">IFERROR(S13*100/S50, "N/A")</f>
        <v>20.274474704854452</v>
      </c>
      <c r="T63" s="5">
        <f t="shared" si="103"/>
        <v>19.86477784932389</v>
      </c>
      <c r="U63" s="5">
        <f t="shared" ref="U63:Y63" si="104">IFERROR(U13*100/U50, "N/A")</f>
        <v>20.408353969069758</v>
      </c>
      <c r="V63" s="5">
        <f t="shared" si="104"/>
        <v>21.260067401610783</v>
      </c>
      <c r="W63" s="5">
        <f t="shared" si="104"/>
        <v>67.305236270753511</v>
      </c>
      <c r="X63" s="5">
        <f t="shared" si="104"/>
        <v>30.075486690504569</v>
      </c>
      <c r="Y63" s="5">
        <f t="shared" si="104"/>
        <v>34.004934210526315</v>
      </c>
      <c r="Z63" s="5">
        <f t="shared" ref="Z63:AA63" si="105">IFERROR(Z13*100/Z50, "N/A")</f>
        <v>39.814309120699072</v>
      </c>
      <c r="AA63" s="5">
        <f t="shared" si="105"/>
        <v>49.614700652045052</v>
      </c>
      <c r="AB63" s="5">
        <f t="shared" ref="AB63" si="106">IFERROR(AB13*100/AB50, "N/A")</f>
        <v>26.569804169298799</v>
      </c>
    </row>
    <row r="64" spans="1:28" x14ac:dyDescent="0.3">
      <c r="A64" s="85" t="s">
        <v>0</v>
      </c>
      <c r="B64" s="40"/>
      <c r="C64" s="2" t="str">
        <f ca="1">IFERROR(IF(Inputs!$E$14 = "Semi-annual",(C63/OFFSET(C63,0,-2,,))-1,(C63/OFFSET(C63,0,-4,,))-1),"")</f>
        <v/>
      </c>
      <c r="D64" s="2" t="str">
        <f ca="1">IFERROR(IF(Inputs!$E$14 = "Semi-annual",(D63/OFFSET(D63,0,-2,,))-1,(D63/OFFSET(D63,0,-4,,))-1),"")</f>
        <v/>
      </c>
      <c r="E64" s="2" t="str">
        <f ca="1">IFERROR(IF(Inputs!$E$14 = "Semi-annual",(E63/OFFSET(E63,0,-2,,))-1,(E63/OFFSET(E63,0,-4,,))-1),"")</f>
        <v/>
      </c>
      <c r="F64" s="2">
        <f ca="1">IFERROR(IF(Inputs!$E$14 = "Semi-annual",(F63/OFFSET(F63,0,-2,,))-1,(F63/OFFSET(F63,0,-4,,))-1),"")</f>
        <v>-4.4919402723352708E-2</v>
      </c>
      <c r="G64" s="2">
        <f ca="1">IFERROR(IF(Inputs!$E$14 = "Semi-annual",(G63/OFFSET(G63,0,-2,,))-1,(G63/OFFSET(G63,0,-4,,))-1),"")</f>
        <v>-7.3618190045231624E-2</v>
      </c>
      <c r="H64" s="2">
        <f ca="1">IFERROR(IF(Inputs!$E$14 = "Semi-annual",(H63/OFFSET(H63,0,-2,,))-1,(H63/OFFSET(H63,0,-4,,))-1),"")</f>
        <v>-6.9429598454071706E-2</v>
      </c>
      <c r="I64" s="2">
        <f ca="1">IFERROR(IF(Inputs!$E$14 = "Semi-annual",(I63/OFFSET(I63,0,-2,,))-1,(I63/OFFSET(I63,0,-4,,))-1),"")</f>
        <v>-6.6514058971045009E-2</v>
      </c>
      <c r="J64" s="2">
        <f ca="1">IFERROR(IF(Inputs!$E$14 = "Semi-annual",(J63/OFFSET(J63,0,-2,,))-1,(J63/OFFSET(J63,0,-4,,))-1),"")</f>
        <v>-4.4148165728579603E-2</v>
      </c>
      <c r="K64" s="2">
        <f ca="1">IFERROR(IF(Inputs!$E$14 = "Semi-annual",(K63/OFFSET(K63,0,-2,,))-1,(K63/OFFSET(K63,0,-4,,))-1),"")</f>
        <v>-4.9004944435896425E-3</v>
      </c>
      <c r="L64" s="2">
        <f ca="1">IFERROR(IF(Inputs!$E$14 = "Semi-annual",(L63/OFFSET(L63,0,-2,,))-1,(L63/OFFSET(L63,0,-4,,))-1),"")</f>
        <v>7.5854343311430039E-3</v>
      </c>
      <c r="M64" s="2">
        <f ca="1">IFERROR(IF(Inputs!$E$14 = "Semi-annual",(M63/OFFSET(M63,0,-2,,))-1,(M63/OFFSET(M63,0,-4,,))-1),"")</f>
        <v>1.45256829235616E-2</v>
      </c>
      <c r="N64" s="2">
        <f ca="1">IFERROR(IF(Inputs!$E$14 = "Semi-annual",(N63/OFFSET(N63,0,-2,,))-1,(N63/OFFSET(N63,0,-4,,))-1),"")</f>
        <v>3.0054210982761731E-3</v>
      </c>
      <c r="O64" s="2">
        <f ca="1">IFERROR(IF(Inputs!$E$14 = "Semi-annual",(O63/OFFSET(O63,0,-2,,))-1,(O63/OFFSET(O63,0,-4,,))-1),"")</f>
        <v>2.3751997411521675E-2</v>
      </c>
      <c r="P64" s="2">
        <f ca="1">IFERROR(IF(Inputs!$E$14 = "Semi-annual",(P63/OFFSET(P63,0,-2,,))-1,(P63/OFFSET(P63,0,-4,,))-1),"")</f>
        <v>3.1939425178462155E-2</v>
      </c>
      <c r="Q64" s="2">
        <f ca="1">IFERROR(IF(Inputs!$E$14 = "Semi-annual",(Q63/OFFSET(Q63,0,-2,,))-1,(Q63/OFFSET(Q63,0,-4,,))-1),"")</f>
        <v>3.6441008801681107E-2</v>
      </c>
      <c r="R64" s="2">
        <f ca="1">IFERROR(IF(Inputs!$E$14 = "Semi-annual",(R63/OFFSET(R63,0,-2,,))-1,(R63/OFFSET(R63,0,-4,,))-1),"")</f>
        <v>5.0015306781129532E-2</v>
      </c>
      <c r="S64" s="2">
        <f ca="1">IFERROR(IF(Inputs!$E$14 = "Semi-annual",(S63/OFFSET(S63,0,-2,,))-1,(S63/OFFSET(S63,0,-4,,))-1),"")</f>
        <v>5.9999884522900393E-2</v>
      </c>
      <c r="T64" s="2">
        <f ca="1">IFERROR(IF(Inputs!$E$14 = "Semi-annual",(T63/OFFSET(T63,0,-2,,))-1,(T63/OFFSET(T63,0,-4,,))-1),"")</f>
        <v>4.4230658321337879E-2</v>
      </c>
      <c r="U64" s="2">
        <f ca="1">IFERROR(IF(Inputs!$E$14 = "Semi-annual",(U63/OFFSET(U63,0,-2,,))-1,(U63/OFFSET(U63,0,-4,,))-1),"")</f>
        <v>-2.0214104894011875E-4</v>
      </c>
      <c r="V64" s="2">
        <f ca="1">IFERROR(IF(Inputs!$E$14 = "Semi-annual",(V63/OFFSET(V63,0,-2,,))-1,(V63/OFFSET(V63,0,-4,,))-1),"")</f>
        <v>1.6596935060629647E-2</v>
      </c>
      <c r="W64" s="2">
        <f ca="1">IFERROR(IF(Inputs!$E$14 = "Semi-annual",(W63/OFFSET(W63,0,-2,,))-1,(W63/OFFSET(W63,0,-4,,))-1),"")</f>
        <v>2.31970308728335</v>
      </c>
      <c r="X64" s="2">
        <f ca="1">IFERROR(IF(Inputs!$E$14 = "Semi-annual",(X63/OFFSET(X63,0,-2,,))-1,(X63/OFFSET(X63,0,-4,,))-1),"")</f>
        <v>0.51401072383642132</v>
      </c>
      <c r="Y64" s="2">
        <f ca="1">IFERROR(IF(Inputs!$E$14 = "Semi-annual",(Y63/OFFSET(Y63,0,-2,,))-1,(Y63/OFFSET(Y63,0,-4,,))-1),"")</f>
        <v>0.66622620629096763</v>
      </c>
      <c r="Z64" s="2">
        <f ca="1">IFERROR(IF(Inputs!$E$14 = "Semi-annual",(Z63/OFFSET(Z63,0,-2,,))-1,(Z63/OFFSET(Z63,0,-4,,))-1),"")</f>
        <v>0.87272732341772885</v>
      </c>
      <c r="AA64" s="2">
        <f ca="1">IFERROR(IF(Inputs!$E$14 = "Semi-annual",(AA63/OFFSET(AA63,0,-2,,))-1,(AA63/OFFSET(AA63,0,-4,,))-1),"")</f>
        <v>-0.26284040587189228</v>
      </c>
      <c r="AB64" s="2">
        <f ca="1">IFERROR(IF(Inputs!$E$14 = "Semi-annual",(AB63/OFFSET(AB63,0,-2,,))-1,(AB63/OFFSET(AB63,0,-4,,))-1),"")</f>
        <v>-0.11656278607496595</v>
      </c>
    </row>
    <row r="65" spans="1:28" x14ac:dyDescent="0.3">
      <c r="A65" s="85" t="str">
        <f>IF(Inputs!$E$10 = "miles", "Total Revenue per ASM ('RASM') [cents]","Total Revenue per ASK ('RASK') [cents]")</f>
        <v>Total Revenue per ASM ('RASM') [cents]</v>
      </c>
      <c r="B65" s="5">
        <f t="shared" ref="B65:D65" si="107">IFERROR(B13*100/B52, "N/A")</f>
        <v>17.720207253886009</v>
      </c>
      <c r="C65" s="5">
        <f t="shared" si="107"/>
        <v>16.958076693820782</v>
      </c>
      <c r="D65" s="5">
        <f t="shared" si="107"/>
        <v>17.093690248565967</v>
      </c>
      <c r="E65" s="5">
        <f t="shared" ref="E65:R65" si="108">IFERROR(E13*100/E52, "N/A")</f>
        <v>16.863638772589962</v>
      </c>
      <c r="F65" s="5">
        <f t="shared" si="108"/>
        <v>16.85574547471386</v>
      </c>
      <c r="G65" s="5">
        <f t="shared" si="108"/>
        <v>15.476190476190476</v>
      </c>
      <c r="H65" s="5">
        <f t="shared" si="108"/>
        <v>15.640593154824654</v>
      </c>
      <c r="I65" s="5">
        <f t="shared" si="108"/>
        <v>15.504051423656692</v>
      </c>
      <c r="J65" s="5">
        <f t="shared" si="108"/>
        <v>15.908098191665939</v>
      </c>
      <c r="K65" s="5">
        <f t="shared" si="108"/>
        <v>15.419805182001026</v>
      </c>
      <c r="L65" s="5">
        <f t="shared" si="108"/>
        <v>15.716586151368761</v>
      </c>
      <c r="M65" s="5">
        <f t="shared" si="108"/>
        <v>15.790996651647307</v>
      </c>
      <c r="N65" s="5">
        <f t="shared" si="108"/>
        <v>16.374386614109888</v>
      </c>
      <c r="O65" s="5">
        <f t="shared" si="108"/>
        <v>15.889838277897979</v>
      </c>
      <c r="P65" s="5">
        <f t="shared" si="108"/>
        <v>16.341249962277818</v>
      </c>
      <c r="Q65" s="5">
        <f t="shared" si="108"/>
        <v>16.587233377607625</v>
      </c>
      <c r="R65" s="5">
        <f t="shared" si="108"/>
        <v>17.116389913899138</v>
      </c>
      <c r="S65" s="5">
        <f t="shared" ref="S65:T65" si="109">IFERROR(S13*100/S52, "N/A")</f>
        <v>17.044070225725548</v>
      </c>
      <c r="T65" s="5">
        <f t="shared" si="109"/>
        <v>17.108790091505686</v>
      </c>
      <c r="U65" s="5">
        <f t="shared" ref="U65:Y65" si="110">IFERROR(U13*100/U52, "N/A")</f>
        <v>16.526048957663349</v>
      </c>
      <c r="V65" s="5">
        <f t="shared" si="110"/>
        <v>15.830887669601463</v>
      </c>
      <c r="W65" s="5">
        <f t="shared" si="110"/>
        <v>23.495318769505126</v>
      </c>
      <c r="X65" s="5">
        <f t="shared" si="110"/>
        <v>12.724827702134812</v>
      </c>
      <c r="Y65" s="5">
        <f t="shared" si="110"/>
        <v>13.783333333333333</v>
      </c>
      <c r="Z65" s="5">
        <f t="shared" ref="Z65:AA65" si="111">IFERROR(Z13*100/Z52, "N/A")</f>
        <v>17.311802422227501</v>
      </c>
      <c r="AA65" s="5">
        <f t="shared" si="111"/>
        <v>20.925000000000001</v>
      </c>
      <c r="AB65" s="5">
        <f t="shared" ref="AB65" si="112">IFERROR(AB13*100/AB52, "N/A")</f>
        <v>18.918675782655633</v>
      </c>
    </row>
    <row r="66" spans="1:28" x14ac:dyDescent="0.3">
      <c r="A66" s="85" t="s">
        <v>0</v>
      </c>
      <c r="B66" s="40"/>
      <c r="C66" s="2" t="str">
        <f ca="1">IFERROR(IF(Inputs!$E$14 = "Semi-annual",(C65/OFFSET(C65,0,-2,,))-1,(C65/OFFSET(C65,0,-4,,))-1),"")</f>
        <v/>
      </c>
      <c r="D66" s="2" t="str">
        <f ca="1">IFERROR(IF(Inputs!$E$14 = "Semi-annual",(D65/OFFSET(D65,0,-2,,))-1,(D65/OFFSET(D65,0,-4,,))-1),"")</f>
        <v/>
      </c>
      <c r="E66" s="2" t="str">
        <f ca="1">IFERROR(IF(Inputs!$E$14 = "Semi-annual",(E65/OFFSET(E65,0,-2,,))-1,(E65/OFFSET(E65,0,-4,,))-1),"")</f>
        <v/>
      </c>
      <c r="F66" s="2">
        <f ca="1">IFERROR(IF(Inputs!$E$14 = "Semi-annual",(F65/OFFSET(F65,0,-2,,))-1,(F65/OFFSET(F65,0,-4,,))-1),"")</f>
        <v>-4.8783954204744129E-2</v>
      </c>
      <c r="G66" s="2">
        <f ca="1">IFERROR(IF(Inputs!$E$14 = "Semi-annual",(G65/OFFSET(G65,0,-2,,))-1,(G65/OFFSET(G65,0,-4,,))-1),"")</f>
        <v>-8.7385276313220017E-2</v>
      </c>
      <c r="H66" s="2">
        <f ca="1">IFERROR(IF(Inputs!$E$14 = "Semi-annual",(H65/OFFSET(H65,0,-2,,))-1,(H65/OFFSET(H65,0,-4,,))-1),"")</f>
        <v>-8.5007805372114831E-2</v>
      </c>
      <c r="I66" s="2">
        <f ca="1">IFERROR(IF(Inputs!$E$14 = "Semi-annual",(I65/OFFSET(I65,0,-2,,))-1,(I65/OFFSET(I65,0,-4,,))-1),"")</f>
        <v>-8.0622418878132818E-2</v>
      </c>
      <c r="J66" s="2">
        <f ca="1">IFERROR(IF(Inputs!$E$14 = "Semi-annual",(J65/OFFSET(J65,0,-2,,))-1,(J65/OFFSET(J65,0,-4,,))-1),"")</f>
        <v>-5.6221024722373336E-2</v>
      </c>
      <c r="K66" s="2">
        <f ca="1">IFERROR(IF(Inputs!$E$14 = "Semi-annual",(K65/OFFSET(K65,0,-2,,))-1,(K65/OFFSET(K65,0,-4,,))-1),"")</f>
        <v>-3.6433574707029903E-3</v>
      </c>
      <c r="L66" s="2">
        <f ca="1">IFERROR(IF(Inputs!$E$14 = "Semi-annual",(L65/OFFSET(L65,0,-2,,))-1,(L65/OFFSET(L65,0,-4,,))-1),"")</f>
        <v>4.8587029783244695E-3</v>
      </c>
      <c r="M66" s="2">
        <f ca="1">IFERROR(IF(Inputs!$E$14 = "Semi-annual",(M65/OFFSET(M65,0,-2,,))-1,(M65/OFFSET(M65,0,-4,,))-1),"")</f>
        <v>1.8507757756323073E-2</v>
      </c>
      <c r="N66" s="2">
        <f ca="1">IFERROR(IF(Inputs!$E$14 = "Semi-annual",(N65/OFFSET(N65,0,-2,,))-1,(N65/OFFSET(N65,0,-4,,))-1),"")</f>
        <v>2.9311386994595789E-2</v>
      </c>
      <c r="O66" s="2">
        <f ca="1">IFERROR(IF(Inputs!$E$14 = "Semi-annual",(O65/OFFSET(O65,0,-2,,))-1,(O65/OFFSET(O65,0,-4,,))-1),"")</f>
        <v>3.0482427653859556E-2</v>
      </c>
      <c r="P66" s="2">
        <f ca="1">IFERROR(IF(Inputs!$E$14 = "Semi-annual",(P65/OFFSET(P65,0,-2,,))-1,(P65/OFFSET(P65,0,-4,,))-1),"")</f>
        <v>3.9745515017881594E-2</v>
      </c>
      <c r="Q66" s="2">
        <f ca="1">IFERROR(IF(Inputs!$E$14 = "Semi-annual",(Q65/OFFSET(Q65,0,-2,,))-1,(Q65/OFFSET(Q65,0,-4,,))-1),"")</f>
        <v>5.0423462402371833E-2</v>
      </c>
      <c r="R66" s="2">
        <f ca="1">IFERROR(IF(Inputs!$E$14 = "Semi-annual",(R65/OFFSET(R65,0,-2,,))-1,(R65/OFFSET(R65,0,-4,,))-1),"")</f>
        <v>4.5314876048539343E-2</v>
      </c>
      <c r="S66" s="2">
        <f ca="1">IFERROR(IF(Inputs!$E$14 = "Semi-annual",(S65/OFFSET(S65,0,-2,,))-1,(S65/OFFSET(S65,0,-4,,))-1),"")</f>
        <v>7.2639628399053802E-2</v>
      </c>
      <c r="T66" s="2">
        <f ca="1">IFERROR(IF(Inputs!$E$14 = "Semi-annual",(T65/OFFSET(T65,0,-2,,))-1,(T65/OFFSET(T65,0,-4,,))-1),"")</f>
        <v>4.6969487095519513E-2</v>
      </c>
      <c r="U66" s="2">
        <f ca="1">IFERROR(IF(Inputs!$E$14 = "Semi-annual",(U65/OFFSET(U65,0,-2,,))-1,(U65/OFFSET(U65,0,-4,,))-1),"")</f>
        <v>-3.6886452702156181E-3</v>
      </c>
      <c r="V66" s="2">
        <f ca="1">IFERROR(IF(Inputs!$E$14 = "Semi-annual",(V65/OFFSET(V65,0,-2,,))-1,(V65/OFFSET(V65,0,-4,,))-1),"")</f>
        <v>-7.5103584971139226E-2</v>
      </c>
      <c r="W66" s="2">
        <f ca="1">IFERROR(IF(Inputs!$E$14 = "Semi-annual",(W65/OFFSET(W65,0,-2,,))-1,(W65/OFFSET(W65,0,-4,,))-1),"")</f>
        <v>0.37850398750659653</v>
      </c>
      <c r="X66" s="2">
        <f ca="1">IFERROR(IF(Inputs!$E$14 = "Semi-annual",(X65/OFFSET(X65,0,-2,,))-1,(X65/OFFSET(X65,0,-4,,))-1),"")</f>
        <v>-0.25624035165101822</v>
      </c>
      <c r="Y66" s="2">
        <f ca="1">IFERROR(IF(Inputs!$E$14 = "Semi-annual",(Y65/OFFSET(Y65,0,-2,,))-1,(Y65/OFFSET(Y65,0,-4,,))-1),"")</f>
        <v>-0.16596317918192915</v>
      </c>
      <c r="Z66" s="2">
        <f ca="1">IFERROR(IF(Inputs!$E$14 = "Semi-annual",(Z65/OFFSET(Z65,0,-2,,))-1,(Z65/OFFSET(Z65,0,-4,,))-1),"")</f>
        <v>9.3545907439523956E-2</v>
      </c>
      <c r="AA66" s="2">
        <f ca="1">IFERROR(IF(Inputs!$E$14 = "Semi-annual",(AA65/OFFSET(AA65,0,-2,,))-1,(AA65/OFFSET(AA65,0,-4,,))-1),"")</f>
        <v>-0.10939705882352935</v>
      </c>
      <c r="AB66" s="2">
        <f ca="1">IFERROR(IF(Inputs!$E$14 = "Semi-annual",(AB65/OFFSET(AB65,0,-2,,))-1,(AB65/OFFSET(AB65,0,-4,,))-1),"")</f>
        <v>0.48675300173075775</v>
      </c>
    </row>
    <row r="67" spans="1:28" x14ac:dyDescent="0.3">
      <c r="A67" s="85" t="str">
        <f>IF(Inputs!$E$10 = "miles","Passenger Yield per RPM (Pass Revenue/RPM) [cents]","Passenger Yield per RPK (Pass Revenue/RPK) [cents]")</f>
        <v>Passenger Yield per RPM (Pass Revenue/RPM) [cents]</v>
      </c>
      <c r="B67" s="5">
        <f>IFERROR(B8*100/'Annual Operational Data'!B31,"N/A")</f>
        <v>5.3706024096385541</v>
      </c>
      <c r="C67" s="5">
        <f>IFERROR(C8*100/'Annual Operational Data'!C31,"N/A")</f>
        <v>5.6839348615901004</v>
      </c>
      <c r="D67" s="5">
        <f>IFERROR(D8*100/'Annual Operational Data'!D31,"N/A")</f>
        <v>6.6779283326744059</v>
      </c>
      <c r="E67" s="5">
        <f>IFERROR(E8*100/'Annual Operational Data'!E31,"N/A")</f>
        <v>4.993749009526157</v>
      </c>
      <c r="F67" s="5">
        <f>IFERROR(F8*100/'Annual Operational Data'!F31,"N/A")</f>
        <v>4.6481433393923659</v>
      </c>
      <c r="G67" s="5">
        <f>IFERROR(G8*100/'Annual Operational Data'!G31,"N/A")</f>
        <v>4.653194166851728</v>
      </c>
      <c r="H67" s="5">
        <f>IFERROR(H8*100/'Annual Operational Data'!H31,"N/A")</f>
        <v>5.3686536525411537</v>
      </c>
      <c r="I67" s="5">
        <f>IFERROR(I8*100/'Annual Operational Data'!I31,"N/A")</f>
        <v>3.5648425478933952</v>
      </c>
      <c r="J67" s="5">
        <f>IFERROR(J8*100/'Annual Operational Data'!J31,"N/A")</f>
        <v>3.3510177566045907</v>
      </c>
      <c r="K67" s="5">
        <f>IFERROR(K8*100/'Annual Operational Data'!M31,"N/A")</f>
        <v>25.366029570861883</v>
      </c>
      <c r="L67" s="5" t="str">
        <f>IFERROR(L8*100/'Annual Operational Data'!N31,"N/A")</f>
        <v>N/A</v>
      </c>
      <c r="M67" s="5" t="str">
        <f>IFERROR(M8*100/'Annual Operational Data'!O31,"N/A")</f>
        <v>N/A</v>
      </c>
      <c r="N67" s="5" t="str">
        <f>IFERROR(N8*100/'Annual Operational Data'!P31,"N/A")</f>
        <v>N/A</v>
      </c>
      <c r="O67" s="5" t="str">
        <f>IFERROR(O8*100/'Annual Operational Data'!Q31,"N/A")</f>
        <v>N/A</v>
      </c>
      <c r="P67" s="5" t="str">
        <f>IFERROR(P8*100/'Annual Operational Data'!R31,"N/A")</f>
        <v>N/A</v>
      </c>
      <c r="Q67" s="5" t="str">
        <f>IFERROR(Q8*100/'Annual Operational Data'!S31,"N/A")</f>
        <v>N/A</v>
      </c>
      <c r="R67" s="5" t="str">
        <f>IFERROR(R8*100/'Annual Operational Data'!T31,"N/A")</f>
        <v>N/A</v>
      </c>
      <c r="S67" s="5" t="str">
        <f>IFERROR(S8*100/'Annual Operational Data'!U31,"N/A")</f>
        <v>N/A</v>
      </c>
      <c r="T67" s="5" t="str">
        <f>IFERROR(T8*100/'Annual Operational Data'!V31,"N/A")</f>
        <v>N/A</v>
      </c>
      <c r="U67" s="5" t="str">
        <f>IFERROR(U8*100/'Annual Operational Data'!W31,"N/A")</f>
        <v>N/A</v>
      </c>
      <c r="V67" s="5" t="str">
        <f>IFERROR(V8*100/'Annual Operational Data'!X31,"N/A")</f>
        <v>N/A</v>
      </c>
      <c r="W67" s="5" t="str">
        <f>IFERROR(W8*100/'Annual Operational Data'!Y31,"N/A")</f>
        <v>N/A</v>
      </c>
      <c r="X67" s="5" t="str">
        <f>IFERROR(X8*100/'Annual Operational Data'!Z31,"N/A")</f>
        <v>N/A</v>
      </c>
      <c r="Y67" s="5" t="str">
        <f>IFERROR(Y8*100/'Annual Operational Data'!AA31,"N/A")</f>
        <v>N/A</v>
      </c>
      <c r="Z67" s="5" t="str">
        <f>IFERROR(Z8*100/'Annual Operational Data'!AB31,"N/A")</f>
        <v>N/A</v>
      </c>
      <c r="AA67" s="5" t="str">
        <f>IFERROR(AA8*100/'Annual Operational Data'!AC31,"N/A")</f>
        <v>N/A</v>
      </c>
      <c r="AB67" s="5" t="str">
        <f>IFERROR(AB8*100/'Annual Operational Data'!AD31,"N/A")</f>
        <v>N/A</v>
      </c>
    </row>
    <row r="68" spans="1:28" x14ac:dyDescent="0.3">
      <c r="A68" s="85" t="s">
        <v>0</v>
      </c>
      <c r="B68" s="40"/>
      <c r="C68" s="2" t="str">
        <f ca="1">IFERROR(IF(Inputs!$E$14 = "Semi-annual",(C67/OFFSET(C67,0,-2,,))-1,(C67/OFFSET(C67,0,-4,,))-1),"")</f>
        <v/>
      </c>
      <c r="D68" s="2" t="str">
        <f ca="1">IFERROR(IF(Inputs!$E$14 = "Semi-annual",(D67/OFFSET(D67,0,-2,,))-1,(D67/OFFSET(D67,0,-4,,))-1),"")</f>
        <v/>
      </c>
      <c r="E68" s="2" t="str">
        <f ca="1">IFERROR(IF(Inputs!$E$14 = "Semi-annual",(E67/OFFSET(E67,0,-2,,))-1,(E67/OFFSET(E67,0,-4,,))-1),"")</f>
        <v/>
      </c>
      <c r="F68" s="2">
        <f ca="1">IFERROR(IF(Inputs!$E$14 = "Semi-annual",(F67/OFFSET(F67,0,-2,,))-1,(F67/OFFSET(F67,0,-4,,))-1),"")</f>
        <v>-0.13452104906324847</v>
      </c>
      <c r="G68" s="2">
        <f ca="1">IFERROR(IF(Inputs!$E$14 = "Semi-annual",(G67/OFFSET(G67,0,-2,,))-1,(G67/OFFSET(G67,0,-4,,))-1),"")</f>
        <v>-0.18134280561582983</v>
      </c>
      <c r="H68" s="2">
        <f ca="1">IFERROR(IF(Inputs!$E$14 = "Semi-annual",(H67/OFFSET(H67,0,-2,,))-1,(H67/OFFSET(H67,0,-4,,))-1),"")</f>
        <v>-0.1960600076714073</v>
      </c>
      <c r="I68" s="2">
        <f ca="1">IFERROR(IF(Inputs!$E$14 = "Semi-annual",(I67/OFFSET(I67,0,-2,,))-1,(I67/OFFSET(I67,0,-4,,))-1),"")</f>
        <v>-0.28613902278768044</v>
      </c>
      <c r="J68" s="2">
        <f ca="1">IFERROR(IF(Inputs!$E$14 = "Semi-annual",(J67/OFFSET(J67,0,-2,,))-1,(J67/OFFSET(J67,0,-4,,))-1),"")</f>
        <v>-0.2790631630902638</v>
      </c>
      <c r="K68" s="2">
        <f ca="1">IFERROR(IF(Inputs!$E$14 = "Semi-annual",(K67/OFFSET(K67,0,-2,,))-1,(K67/OFFSET(K67,0,-4,,))-1),"")</f>
        <v>4.4513155181796566</v>
      </c>
      <c r="L68" s="2" t="str">
        <f ca="1">IFERROR(IF(Inputs!$E$14 = "Semi-annual",(L67/OFFSET(L67,0,-2,,))-1,(L67/OFFSET(L67,0,-4,,))-1),"")</f>
        <v/>
      </c>
      <c r="M68" s="2" t="str">
        <f ca="1">IFERROR(IF(Inputs!$E$14 = "Semi-annual",(M67/OFFSET(M67,0,-2,,))-1,(M67/OFFSET(M67,0,-4,,))-1),"")</f>
        <v/>
      </c>
      <c r="N68" s="2" t="str">
        <f ca="1">IFERROR(IF(Inputs!$E$14 = "Semi-annual",(N67/OFFSET(N67,0,-2,,))-1,(N67/OFFSET(N67,0,-4,,))-1),"")</f>
        <v/>
      </c>
      <c r="O68" s="2" t="str">
        <f ca="1">IFERROR(IF(Inputs!$E$14 = "Semi-annual",(O67/OFFSET(O67,0,-2,,))-1,(O67/OFFSET(O67,0,-4,,))-1),"")</f>
        <v/>
      </c>
      <c r="P68" s="2" t="str">
        <f ca="1">IFERROR(IF(Inputs!$E$14 = "Semi-annual",(P67/OFFSET(P67,0,-2,,))-1,(P67/OFFSET(P67,0,-4,,))-1),"")</f>
        <v/>
      </c>
      <c r="Q68" s="2" t="str">
        <f ca="1">IFERROR(IF(Inputs!$E$14 = "Semi-annual",(Q67/OFFSET(Q67,0,-2,,))-1,(Q67/OFFSET(Q67,0,-4,,))-1),"")</f>
        <v/>
      </c>
      <c r="R68" s="2" t="str">
        <f ca="1">IFERROR(IF(Inputs!$E$14 = "Semi-annual",(R67/OFFSET(R67,0,-2,,))-1,(R67/OFFSET(R67,0,-4,,))-1),"")</f>
        <v/>
      </c>
      <c r="S68" s="2" t="str">
        <f ca="1">IFERROR(IF(Inputs!$E$14 = "Semi-annual",(S67/OFFSET(S67,0,-2,,))-1,(S67/OFFSET(S67,0,-4,,))-1),"")</f>
        <v/>
      </c>
      <c r="T68" s="2" t="str">
        <f ca="1">IFERROR(IF(Inputs!$E$14 = "Semi-annual",(T67/OFFSET(T67,0,-2,,))-1,(T67/OFFSET(T67,0,-4,,))-1),"")</f>
        <v/>
      </c>
      <c r="U68" s="2" t="str">
        <f ca="1">IFERROR(IF(Inputs!$E$14 = "Semi-annual",(U67/OFFSET(U67,0,-2,,))-1,(U67/OFFSET(U67,0,-4,,))-1),"")</f>
        <v/>
      </c>
      <c r="V68" s="2" t="str">
        <f ca="1">IFERROR(IF(Inputs!$E$14 = "Semi-annual",(V67/OFFSET(V67,0,-2,,))-1,(V67/OFFSET(V67,0,-4,,))-1),"")</f>
        <v/>
      </c>
      <c r="W68" s="2" t="str">
        <f ca="1">IFERROR(IF(Inputs!$E$14 = "Semi-annual",(W67/OFFSET(W67,0,-2,,))-1,(W67/OFFSET(W67,0,-4,,))-1),"")</f>
        <v/>
      </c>
      <c r="X68" s="2" t="str">
        <f ca="1">IFERROR(IF(Inputs!$E$14 = "Semi-annual",(X67/OFFSET(X67,0,-2,,))-1,(X67/OFFSET(X67,0,-4,,))-1),"")</f>
        <v/>
      </c>
      <c r="Y68" s="2" t="str">
        <f ca="1">IFERROR(IF(Inputs!$E$14 = "Semi-annual",(Y67/OFFSET(Y67,0,-2,,))-1,(Y67/OFFSET(Y67,0,-4,,))-1),"")</f>
        <v/>
      </c>
      <c r="Z68" s="2" t="str">
        <f ca="1">IFERROR(IF(Inputs!$E$14 = "Semi-annual",(Z67/OFFSET(Z67,0,-2,,))-1,(Z67/OFFSET(Z67,0,-4,,))-1),"")</f>
        <v/>
      </c>
      <c r="AA68" s="2" t="str">
        <f ca="1">IFERROR(IF(Inputs!$E$14 = "Semi-annual",(AA67/OFFSET(AA67,0,-2,,))-1,(AA67/OFFSET(AA67,0,-4,,))-1),"")</f>
        <v/>
      </c>
      <c r="AB68" s="2" t="str">
        <f ca="1">IFERROR(IF(Inputs!$E$14 = "Semi-annual",(AB67/OFFSET(AB67,0,-2,,))-1,(AB67/OFFSET(AB67,0,-4,,))-1),"")</f>
        <v/>
      </c>
    </row>
    <row r="69" spans="1:28" x14ac:dyDescent="0.3">
      <c r="A69" s="85" t="str">
        <f>IF(Inputs!$E$10 = "miles","Passenger Revenue per ASM ('PRASM') [cents]", "Passenger Revenue per ASK ('PRASK') [cents]")</f>
        <v>Passenger Revenue per ASM ('PRASM') [cents]</v>
      </c>
      <c r="B69" s="5">
        <f t="shared" ref="B69:D69" si="113">IFERROR(B8*100/B52, "N/A")</f>
        <v>15.194982274338697</v>
      </c>
      <c r="C69" s="5">
        <f t="shared" si="113"/>
        <v>15.30896085833499</v>
      </c>
      <c r="D69" s="5">
        <f t="shared" si="113"/>
        <v>15.789250053112386</v>
      </c>
      <c r="E69" s="5">
        <f t="shared" ref="E69:R69" si="114">IFERROR(E8*100/E52, "N/A")</f>
        <v>15.029943293232286</v>
      </c>
      <c r="F69" s="5">
        <f t="shared" si="114"/>
        <v>14.440578833257701</v>
      </c>
      <c r="G69" s="5">
        <f t="shared" si="114"/>
        <v>14.06641604010025</v>
      </c>
      <c r="H69" s="5">
        <f t="shared" si="114"/>
        <v>14.428280272682549</v>
      </c>
      <c r="I69" s="5">
        <f t="shared" si="114"/>
        <v>13.738626590014032</v>
      </c>
      <c r="J69" s="5">
        <f t="shared" si="114"/>
        <v>13.518825893247138</v>
      </c>
      <c r="K69" s="5">
        <f t="shared" si="114"/>
        <v>13.869937295421384</v>
      </c>
      <c r="L69" s="5">
        <f t="shared" si="114"/>
        <v>14.421900161030596</v>
      </c>
      <c r="M69" s="5">
        <f t="shared" si="114"/>
        <v>13.97627216733496</v>
      </c>
      <c r="N69" s="5">
        <f t="shared" si="114"/>
        <v>14.033464725283565</v>
      </c>
      <c r="O69" s="5">
        <f t="shared" si="114"/>
        <v>14.378965125233782</v>
      </c>
      <c r="P69" s="5">
        <f t="shared" si="114"/>
        <v>15.143193409180071</v>
      </c>
      <c r="Q69" s="5">
        <f t="shared" si="114"/>
        <v>14.825376982576763</v>
      </c>
      <c r="R69" s="5">
        <f t="shared" si="114"/>
        <v>14.667896678966789</v>
      </c>
      <c r="S69" s="5">
        <f t="shared" ref="S69:T69" si="115">IFERROR(S8*100/S52, "N/A")</f>
        <v>15.542816194912218</v>
      </c>
      <c r="T69" s="5">
        <f t="shared" si="115"/>
        <v>15.910281295252179</v>
      </c>
      <c r="U69" s="5">
        <f t="shared" ref="U69:Y69" si="116">IFERROR(U8*100/U52, "N/A")</f>
        <v>14.808368960690098</v>
      </c>
      <c r="V69" s="5">
        <f t="shared" si="116"/>
        <v>13.58087703628089</v>
      </c>
      <c r="W69" s="5">
        <f t="shared" si="116"/>
        <v>9.2287115470352212</v>
      </c>
      <c r="X69" s="5">
        <f t="shared" si="116"/>
        <v>8.5224407463439231</v>
      </c>
      <c r="Y69" s="5">
        <f t="shared" si="116"/>
        <v>7.916666666666667</v>
      </c>
      <c r="Z69" s="5">
        <f t="shared" ref="Z69:AA69" si="117">IFERROR(Z8*100/Z52, "N/A")</f>
        <v>9.3801947280930893</v>
      </c>
      <c r="AA69" s="5">
        <f t="shared" si="117"/>
        <v>10.65</v>
      </c>
      <c r="AB69" s="5">
        <f t="shared" ref="AB69" si="118">IFERROR(AB8*100/AB52, "N/A")</f>
        <v>14.717524289312703</v>
      </c>
    </row>
    <row r="70" spans="1:28" x14ac:dyDescent="0.3">
      <c r="A70" s="85" t="s">
        <v>0</v>
      </c>
      <c r="B70" s="40"/>
      <c r="C70" s="2" t="str">
        <f ca="1">IFERROR(IF(Inputs!$E$14 = "Semi-annual",(C69/OFFSET(C69,0,-2,,))-1,(C69/OFFSET(C69,0,-4,,))-1),"")</f>
        <v/>
      </c>
      <c r="D70" s="2" t="str">
        <f ca="1">IFERROR(IF(Inputs!$E$14 = "Semi-annual",(D69/OFFSET(D69,0,-2,,))-1,(D69/OFFSET(D69,0,-4,,))-1),"")</f>
        <v/>
      </c>
      <c r="E70" s="2" t="str">
        <f ca="1">IFERROR(IF(Inputs!$E$14 = "Semi-annual",(E69/OFFSET(E69,0,-2,,))-1,(E69/OFFSET(E69,0,-4,,))-1),"")</f>
        <v/>
      </c>
      <c r="F70" s="2">
        <f ca="1">IFERROR(IF(Inputs!$E$14 = "Semi-annual",(F69/OFFSET(F69,0,-2,,))-1,(F69/OFFSET(F69,0,-4,,))-1),"")</f>
        <v>-4.96481948751617E-2</v>
      </c>
      <c r="G70" s="2">
        <f ca="1">IFERROR(IF(Inputs!$E$14 = "Semi-annual",(G69/OFFSET(G69,0,-2,,))-1,(G69/OFFSET(G69,0,-4,,))-1),"")</f>
        <v>-8.1164543415644941E-2</v>
      </c>
      <c r="H70" s="2">
        <f ca="1">IFERROR(IF(Inputs!$E$14 = "Semi-annual",(H69/OFFSET(H69,0,-2,,))-1,(H69/OFFSET(H69,0,-4,,))-1),"")</f>
        <v>-8.6195973580237339E-2</v>
      </c>
      <c r="I70" s="2">
        <f ca="1">IFERROR(IF(Inputs!$E$14 = "Semi-annual",(I69/OFFSET(I69,0,-2,,))-1,(I69/OFFSET(I69,0,-4,,))-1),"")</f>
        <v>-8.5916272471880162E-2</v>
      </c>
      <c r="J70" s="2">
        <f ca="1">IFERROR(IF(Inputs!$E$14 = "Semi-annual",(J69/OFFSET(J69,0,-2,,))-1,(J69/OFFSET(J69,0,-4,,))-1),"")</f>
        <v>-6.3830747413510802E-2</v>
      </c>
      <c r="K70" s="2">
        <f ca="1">IFERROR(IF(Inputs!$E$14 = "Semi-annual",(K69/OFFSET(K69,0,-2,,))-1,(K69/OFFSET(K69,0,-4,,))-1),"")</f>
        <v>-1.3967932138417405E-2</v>
      </c>
      <c r="L70" s="2">
        <f ca="1">IFERROR(IF(Inputs!$E$14 = "Semi-annual",(L69/OFFSET(L69,0,-2,,))-1,(L69/OFFSET(L69,0,-4,,))-1),"")</f>
        <v>-4.4219487917995792E-4</v>
      </c>
      <c r="M70" s="2">
        <f ca="1">IFERROR(IF(Inputs!$E$14 = "Semi-annual",(M69/OFFSET(M69,0,-2,,))-1,(M69/OFFSET(M69,0,-4,,))-1),"")</f>
        <v>1.7297622565392468E-2</v>
      </c>
      <c r="N70" s="2">
        <f ca="1">IFERROR(IF(Inputs!$E$14 = "Semi-annual",(N69/OFFSET(N69,0,-2,,))-1,(N69/OFFSET(N69,0,-4,,))-1),"")</f>
        <v>3.8068308305789778E-2</v>
      </c>
      <c r="O70" s="2">
        <f ca="1">IFERROR(IF(Inputs!$E$14 = "Semi-annual",(O69/OFFSET(O69,0,-2,,))-1,(O69/OFFSET(O69,0,-4,,))-1),"")</f>
        <v>3.6700081548345143E-2</v>
      </c>
      <c r="P70" s="2">
        <f ca="1">IFERROR(IF(Inputs!$E$14 = "Semi-annual",(P69/OFFSET(P69,0,-2,,))-1,(P69/OFFSET(P69,0,-4,,))-1),"")</f>
        <v>5.0013745768292095E-2</v>
      </c>
      <c r="Q70" s="2">
        <f ca="1">IFERROR(IF(Inputs!$E$14 = "Semi-annual",(Q69/OFFSET(Q69,0,-2,,))-1,(Q69/OFFSET(Q69,0,-4,,))-1),"")</f>
        <v>6.0753311403473731E-2</v>
      </c>
      <c r="R70" s="2">
        <f ca="1">IFERROR(IF(Inputs!$E$14 = "Semi-annual",(R69/OFFSET(R69,0,-2,,))-1,(R69/OFFSET(R69,0,-4,,))-1),"")</f>
        <v>4.5208504535604321E-2</v>
      </c>
      <c r="S70" s="2">
        <f ca="1">IFERROR(IF(Inputs!$E$14 = "Semi-annual",(S69/OFFSET(S69,0,-2,,))-1,(S69/OFFSET(S69,0,-4,,))-1),"")</f>
        <v>8.0941226266414867E-2</v>
      </c>
      <c r="T70" s="2">
        <f ca="1">IFERROR(IF(Inputs!$E$14 = "Semi-annual",(T69/OFFSET(T69,0,-2,,))-1,(T69/OFFSET(T69,0,-4,,))-1),"")</f>
        <v>5.06556223211867E-2</v>
      </c>
      <c r="U70" s="2">
        <f ca="1">IFERROR(IF(Inputs!$E$14 = "Semi-annual",(U69/OFFSET(U69,0,-2,,))-1,(U69/OFFSET(U69,0,-4,,))-1),"")</f>
        <v>-1.1472235685240362E-3</v>
      </c>
      <c r="V70" s="2">
        <f ca="1">IFERROR(IF(Inputs!$E$14 = "Semi-annual",(V69/OFFSET(V69,0,-2,,))-1,(V69/OFFSET(V69,0,-4,,))-1),"")</f>
        <v>-7.4108760545378294E-2</v>
      </c>
      <c r="W70" s="2">
        <f ca="1">IFERROR(IF(Inputs!$E$14 = "Semi-annual",(W69/OFFSET(W69,0,-2,,))-1,(W69/OFFSET(W69,0,-4,,))-1),"")</f>
        <v>-0.40623942075206776</v>
      </c>
      <c r="X70" s="2">
        <f ca="1">IFERROR(IF(Inputs!$E$14 = "Semi-annual",(X69/OFFSET(X69,0,-2,,))-1,(X69/OFFSET(X69,0,-4,,))-1),"")</f>
        <v>-0.4643438046009204</v>
      </c>
      <c r="Y70" s="2">
        <f ca="1">IFERROR(IF(Inputs!$E$14 = "Semi-annual",(Y69/OFFSET(Y69,0,-2,,))-1,(Y69/OFFSET(Y69,0,-4,,))-1),"")</f>
        <v>-0.46539239482200645</v>
      </c>
      <c r="Z70" s="2">
        <f ca="1">IFERROR(IF(Inputs!$E$14 = "Semi-annual",(Z69/OFFSET(Z69,0,-2,,))-1,(Z69/OFFSET(Z69,0,-4,,))-1),"")</f>
        <v>-0.30930861806390042</v>
      </c>
      <c r="AA70" s="2">
        <f ca="1">IFERROR(IF(Inputs!$E$14 = "Semi-annual",(AA69/OFFSET(AA69,0,-2,,))-1,(AA69/OFFSET(AA69,0,-4,,))-1),"")</f>
        <v>0.15400724637681162</v>
      </c>
      <c r="AB70" s="2">
        <f ca="1">IFERROR(IF(Inputs!$E$14 = "Semi-annual",(AB69/OFFSET(AB69,0,-2,,))-1,(AB69/OFFSET(AB69,0,-4,,))-1),"")</f>
        <v>0.72691424057438403</v>
      </c>
    </row>
    <row r="71" spans="1:28" x14ac:dyDescent="0.3">
      <c r="A71" s="85" t="str">
        <f>IF(Inputs!$E$10 = "miles","Cargo Yield per RFTM (Cargo Revenue/RFTM) [cents]", "Cargo Yield per RFTK (Cargo Revenue/RFTK) [cents]")</f>
        <v>Cargo Yield per RFTM (Cargo Revenue/RFTM) [cents]</v>
      </c>
      <c r="B71" s="5" t="str">
        <f>IFERROR(B10*100/'Annual Operational Data'!B37, "N/A")</f>
        <v>N/A</v>
      </c>
      <c r="C71" s="5" t="str">
        <f>IFERROR(C10*100/'Annual Operational Data'!C37, "N/A")</f>
        <v>N/A</v>
      </c>
      <c r="D71" s="5" t="str">
        <f>IFERROR(D10*100/'Annual Operational Data'!D37, "N/A")</f>
        <v>N/A</v>
      </c>
      <c r="E71" s="5" t="str">
        <f>IFERROR(E10*100/'Annual Operational Data'!E37, "N/A")</f>
        <v>N/A</v>
      </c>
      <c r="F71" s="5" t="str">
        <f>IFERROR(F10*100/'Annual Operational Data'!F37, "N/A")</f>
        <v>N/A</v>
      </c>
      <c r="G71" s="5" t="str">
        <f>IFERROR(G10*100/'Annual Operational Data'!G37, "N/A")</f>
        <v>N/A</v>
      </c>
      <c r="H71" s="5" t="str">
        <f>IFERROR(H10*100/'Annual Operational Data'!H37, "N/A")</f>
        <v>N/A</v>
      </c>
      <c r="I71" s="5" t="str">
        <f>IFERROR(I10*100/'Annual Operational Data'!I37, "N/A")</f>
        <v>N/A</v>
      </c>
      <c r="J71" s="5" t="str">
        <f>IFERROR(J10*100/'Annual Operational Data'!J37, "N/A")</f>
        <v>N/A</v>
      </c>
      <c r="K71" s="5" t="str">
        <f>IFERROR(K10*100/'Annual Operational Data'!M37, "N/A")</f>
        <v>N/A</v>
      </c>
      <c r="L71" s="5" t="str">
        <f>IFERROR(L10*100/'Annual Operational Data'!N37, "N/A")</f>
        <v>N/A</v>
      </c>
      <c r="M71" s="5" t="str">
        <f>IFERROR(M10*100/'Annual Operational Data'!O37, "N/A")</f>
        <v>N/A</v>
      </c>
      <c r="N71" s="5" t="str">
        <f>IFERROR(N10*100/'Annual Operational Data'!P37, "N/A")</f>
        <v>N/A</v>
      </c>
      <c r="O71" s="5" t="str">
        <f>IFERROR(O10*100/'Annual Operational Data'!Q37, "N/A")</f>
        <v>N/A</v>
      </c>
      <c r="P71" s="5" t="str">
        <f>IFERROR(P10*100/'Annual Operational Data'!R37, "N/A")</f>
        <v>N/A</v>
      </c>
      <c r="Q71" s="5" t="str">
        <f>IFERROR(Q10*100/'Annual Operational Data'!S37, "N/A")</f>
        <v>N/A</v>
      </c>
      <c r="R71" s="5" t="str">
        <f>IFERROR(R10*100/'Annual Operational Data'!T37, "N/A")</f>
        <v>N/A</v>
      </c>
      <c r="S71" s="5" t="str">
        <f>IFERROR(S10*100/'Annual Operational Data'!U37, "N/A")</f>
        <v>N/A</v>
      </c>
      <c r="T71" s="5" t="str">
        <f>IFERROR(T10*100/'Annual Operational Data'!V37, "N/A")</f>
        <v>N/A</v>
      </c>
      <c r="U71" s="5" t="str">
        <f>IFERROR(U10*100/'Annual Operational Data'!W37, "N/A")</f>
        <v>N/A</v>
      </c>
      <c r="V71" s="5" t="str">
        <f>IFERROR(V10*100/'Annual Operational Data'!X37, "N/A")</f>
        <v>N/A</v>
      </c>
      <c r="W71" s="5" t="str">
        <f>IFERROR(W10*100/'Annual Operational Data'!Y37, "N/A")</f>
        <v>N/A</v>
      </c>
      <c r="X71" s="5" t="str">
        <f>IFERROR(X10*100/'Annual Operational Data'!Z37, "N/A")</f>
        <v>N/A</v>
      </c>
      <c r="Y71" s="5" t="str">
        <f>IFERROR(Y10*100/'Annual Operational Data'!AA37, "N/A")</f>
        <v>N/A</v>
      </c>
      <c r="Z71" s="5" t="str">
        <f>IFERROR(Z10*100/'Annual Operational Data'!AB37, "N/A")</f>
        <v>N/A</v>
      </c>
      <c r="AA71" s="5" t="str">
        <f>IFERROR(AA10*100/'Annual Operational Data'!AC37, "N/A")</f>
        <v>N/A</v>
      </c>
      <c r="AB71" s="5" t="str">
        <f>IFERROR(AB10*100/'Annual Operational Data'!AD37, "N/A")</f>
        <v>N/A</v>
      </c>
    </row>
    <row r="72" spans="1:28" x14ac:dyDescent="0.3">
      <c r="A72" s="85" t="s">
        <v>0</v>
      </c>
      <c r="B72" s="40"/>
      <c r="C72" s="2" t="str">
        <f ca="1">IFERROR(IF(Inputs!$E$14 = "Semi-annual",(C71/OFFSET(C71,0,-2,,))-1,(C71/OFFSET(C71,0,-4,,))-1),"")</f>
        <v/>
      </c>
      <c r="D72" s="2" t="str">
        <f ca="1">IFERROR(IF(Inputs!$E$14 = "Semi-annual",(D71/OFFSET(D71,0,-2,,))-1,(D71/OFFSET(D71,0,-4,,))-1),"")</f>
        <v/>
      </c>
      <c r="E72" s="2" t="str">
        <f ca="1">IFERROR(IF(Inputs!$E$14 = "Semi-annual",(E71/OFFSET(E71,0,-2,,))-1,(E71/OFFSET(E71,0,-4,,))-1),"")</f>
        <v/>
      </c>
      <c r="F72" s="2" t="str">
        <f ca="1">IFERROR(IF(Inputs!$E$14 = "Semi-annual",(F71/OFFSET(F71,0,-2,,))-1,(F71/OFFSET(F71,0,-4,,))-1),"")</f>
        <v/>
      </c>
      <c r="G72" s="2" t="str">
        <f ca="1">IFERROR(IF(Inputs!$E$14 = "Semi-annual",(G71/OFFSET(G71,0,-2,,))-1,(G71/OFFSET(G71,0,-4,,))-1),"")</f>
        <v/>
      </c>
      <c r="H72" s="2" t="str">
        <f ca="1">IFERROR(IF(Inputs!$E$14 = "Semi-annual",(H71/OFFSET(H71,0,-2,,))-1,(H71/OFFSET(H71,0,-4,,))-1),"")</f>
        <v/>
      </c>
      <c r="I72" s="2" t="str">
        <f ca="1">IFERROR(IF(Inputs!$E$14 = "Semi-annual",(I71/OFFSET(I71,0,-2,,))-1,(I71/OFFSET(I71,0,-4,,))-1),"")</f>
        <v/>
      </c>
      <c r="J72" s="2" t="str">
        <f ca="1">IFERROR(IF(Inputs!$E$14 = "Semi-annual",(J71/OFFSET(J71,0,-2,,))-1,(J71/OFFSET(J71,0,-4,,))-1),"")</f>
        <v/>
      </c>
      <c r="K72" s="2" t="str">
        <f ca="1">IFERROR(IF(Inputs!$E$14 = "Semi-annual",(K71/OFFSET(K71,0,-2,,))-1,(K71/OFFSET(K71,0,-4,,))-1),"")</f>
        <v/>
      </c>
      <c r="L72" s="2" t="str">
        <f ca="1">IFERROR(IF(Inputs!$E$14 = "Semi-annual",(L71/OFFSET(L71,0,-2,,))-1,(L71/OFFSET(L71,0,-4,,))-1),"")</f>
        <v/>
      </c>
      <c r="M72" s="2" t="str">
        <f ca="1">IFERROR(IF(Inputs!$E$14 = "Semi-annual",(M71/OFFSET(M71,0,-2,,))-1,(M71/OFFSET(M71,0,-4,,))-1),"")</f>
        <v/>
      </c>
      <c r="N72" s="2" t="str">
        <f ca="1">IFERROR(IF(Inputs!$E$14 = "Semi-annual",(N71/OFFSET(N71,0,-2,,))-1,(N71/OFFSET(N71,0,-4,,))-1),"")</f>
        <v/>
      </c>
      <c r="O72" s="2" t="str">
        <f ca="1">IFERROR(IF(Inputs!$E$14 = "Semi-annual",(O71/OFFSET(O71,0,-2,,))-1,(O71/OFFSET(O71,0,-4,,))-1),"")</f>
        <v/>
      </c>
      <c r="P72" s="2" t="str">
        <f ca="1">IFERROR(IF(Inputs!$E$14 = "Semi-annual",(P71/OFFSET(P71,0,-2,,))-1,(P71/OFFSET(P71,0,-4,,))-1),"")</f>
        <v/>
      </c>
      <c r="Q72" s="2" t="str">
        <f ca="1">IFERROR(IF(Inputs!$E$14 = "Semi-annual",(Q71/OFFSET(Q71,0,-2,,))-1,(Q71/OFFSET(Q71,0,-4,,))-1),"")</f>
        <v/>
      </c>
      <c r="R72" s="2" t="str">
        <f ca="1">IFERROR(IF(Inputs!$E$14 = "Semi-annual",(R71/OFFSET(R71,0,-2,,))-1,(R71/OFFSET(R71,0,-4,,))-1),"")</f>
        <v/>
      </c>
      <c r="S72" s="2" t="str">
        <f ca="1">IFERROR(IF(Inputs!$E$14 = "Semi-annual",(S71/OFFSET(S71,0,-2,,))-1,(S71/OFFSET(S71,0,-4,,))-1),"")</f>
        <v/>
      </c>
      <c r="T72" s="2" t="str">
        <f ca="1">IFERROR(IF(Inputs!$E$14 = "Semi-annual",(T71/OFFSET(T71,0,-2,,))-1,(T71/OFFSET(T71,0,-4,,))-1),"")</f>
        <v/>
      </c>
      <c r="U72" s="2" t="str">
        <f ca="1">IFERROR(IF(Inputs!$E$14 = "Semi-annual",(U71/OFFSET(U71,0,-2,,))-1,(U71/OFFSET(U71,0,-4,,))-1),"")</f>
        <v/>
      </c>
      <c r="V72" s="2" t="str">
        <f ca="1">IFERROR(IF(Inputs!$E$14 = "Semi-annual",(V71/OFFSET(V71,0,-2,,))-1,(V71/OFFSET(V71,0,-4,,))-1),"")</f>
        <v/>
      </c>
      <c r="W72" s="2" t="str">
        <f ca="1">IFERROR(IF(Inputs!$E$14 = "Semi-annual",(W71/OFFSET(W71,0,-2,,))-1,(W71/OFFSET(W71,0,-4,,))-1),"")</f>
        <v/>
      </c>
      <c r="X72" s="2" t="str">
        <f ca="1">IFERROR(IF(Inputs!$E$14 = "Semi-annual",(X71/OFFSET(X71,0,-2,,))-1,(X71/OFFSET(X71,0,-4,,))-1),"")</f>
        <v/>
      </c>
      <c r="Y72" s="2" t="str">
        <f ca="1">IFERROR(IF(Inputs!$E$14 = "Semi-annual",(Y71/OFFSET(Y71,0,-2,,))-1,(Y71/OFFSET(Y71,0,-4,,))-1),"")</f>
        <v/>
      </c>
      <c r="Z72" s="2" t="str">
        <f ca="1">IFERROR(IF(Inputs!$E$14 = "Semi-annual",(Z71/OFFSET(Z71,0,-2,,))-1,(Z71/OFFSET(Z71,0,-4,,))-1),"")</f>
        <v/>
      </c>
      <c r="AA72" s="2" t="str">
        <f ca="1">IFERROR(IF(Inputs!$E$14 = "Semi-annual",(AA71/OFFSET(AA71,0,-2,,))-1,(AA71/OFFSET(AA71,0,-4,,))-1),"")</f>
        <v/>
      </c>
      <c r="AB72" s="2" t="str">
        <f ca="1">IFERROR(IF(Inputs!$E$14 = "Semi-annual",(AB71/OFFSET(AB71,0,-2,,))-1,(AB71/OFFSET(AB71,0,-4,,))-1),"")</f>
        <v/>
      </c>
    </row>
    <row r="73" spans="1:28" x14ac:dyDescent="0.3">
      <c r="A73" s="8" t="s">
        <v>6</v>
      </c>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row>
    <row r="74" spans="1:28" x14ac:dyDescent="0.3">
      <c r="A74" s="85" t="s">
        <v>47</v>
      </c>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row>
    <row r="75" spans="1:28" x14ac:dyDescent="0.3">
      <c r="A75" s="85" t="s">
        <v>462</v>
      </c>
      <c r="B75" s="5">
        <f t="shared" ref="B75:D75" si="119">IFERROR(-B24*100/B52,"N/A")</f>
        <v>15.347695664030542</v>
      </c>
      <c r="C75" s="5">
        <f t="shared" si="119"/>
        <v>14.171468309159547</v>
      </c>
      <c r="D75" s="5">
        <f t="shared" si="119"/>
        <v>12.551519014234119</v>
      </c>
      <c r="E75" s="5">
        <f t="shared" ref="E75:R75" si="120">IFERROR(-E24*100/E52,"N/A")</f>
        <v>14.494673803593194</v>
      </c>
      <c r="F75" s="5">
        <f t="shared" si="120"/>
        <v>14.596883981243382</v>
      </c>
      <c r="G75" s="5">
        <f t="shared" si="120"/>
        <v>12.831185105621195</v>
      </c>
      <c r="H75" s="5">
        <f t="shared" si="120"/>
        <v>11.304378382177244</v>
      </c>
      <c r="I75" s="5">
        <f t="shared" si="120"/>
        <v>13.507763342537684</v>
      </c>
      <c r="J75" s="5">
        <f t="shared" si="120"/>
        <v>14.484144317288372</v>
      </c>
      <c r="K75" s="5">
        <f t="shared" si="120"/>
        <v>12.844579406081161</v>
      </c>
      <c r="L75" s="5">
        <f t="shared" si="120"/>
        <v>11.214170692431562</v>
      </c>
      <c r="M75" s="5">
        <f t="shared" si="120"/>
        <v>13.707577198131537</v>
      </c>
      <c r="N75" s="5">
        <f t="shared" si="120"/>
        <v>14.853994047140214</v>
      </c>
      <c r="O75" s="5">
        <f t="shared" si="120"/>
        <v>13.590524038285233</v>
      </c>
      <c r="P75" s="5">
        <f t="shared" si="120"/>
        <v>12.584120469565741</v>
      </c>
      <c r="Q75" s="5">
        <f t="shared" si="120"/>
        <v>14.54801156340339</v>
      </c>
      <c r="R75" s="5">
        <f t="shared" si="120"/>
        <v>14.875461254612546</v>
      </c>
      <c r="S75" s="5">
        <f t="shared" ref="S75:T75" si="121">IFERROR(-S24*100/S52,"N/A")</f>
        <v>13.762092439985668</v>
      </c>
      <c r="T75" s="5">
        <f t="shared" si="121"/>
        <v>12.573558862494993</v>
      </c>
      <c r="U75" s="5">
        <f t="shared" ref="U75:Y75" si="122">IFERROR(-U24*100/U52,"N/A")</f>
        <v>14.010063940070372</v>
      </c>
      <c r="V75" s="5">
        <f t="shared" si="122"/>
        <v>15.528901365318362</v>
      </c>
      <c r="W75" s="5">
        <f t="shared" si="122"/>
        <v>56.576014266607224</v>
      </c>
      <c r="X75" s="5">
        <f t="shared" si="122"/>
        <v>18.86031265758951</v>
      </c>
      <c r="Y75" s="5">
        <f t="shared" si="122"/>
        <v>23.45</v>
      </c>
      <c r="Z75" s="5">
        <f t="shared" ref="Z75:AA75" si="123">IFERROR(-Z24*100/Z52,"N/A")</f>
        <v>31.940156732367608</v>
      </c>
      <c r="AA75" s="5">
        <f t="shared" si="123"/>
        <v>39</v>
      </c>
      <c r="AB75" s="5">
        <f t="shared" ref="AB75" si="124">IFERROR(-AB24*100/AB52,"N/A")</f>
        <v>18.702770780856422</v>
      </c>
    </row>
    <row r="76" spans="1:28" x14ac:dyDescent="0.3">
      <c r="A76" s="85" t="s">
        <v>0</v>
      </c>
      <c r="B76" s="40"/>
      <c r="C76" s="2" t="str">
        <f ca="1">IFERROR(IF(Inputs!$E$14 = "Semi-annual",(C75/OFFSET(C75,0,-2,,))-1,(C75/OFFSET(C75,0,-4,,))-1),"")</f>
        <v/>
      </c>
      <c r="D76" s="2" t="str">
        <f ca="1">IFERROR(IF(Inputs!$E$14 = "Semi-annual",(D75/OFFSET(D75,0,-2,,))-1,(D75/OFFSET(D75,0,-4,,))-1),"")</f>
        <v/>
      </c>
      <c r="E76" s="2" t="str">
        <f ca="1">IFERROR(IF(Inputs!$E$14 = "Semi-annual",(E75/OFFSET(E75,0,-2,,))-1,(E75/OFFSET(E75,0,-4,,))-1),"")</f>
        <v/>
      </c>
      <c r="F76" s="2">
        <f ca="1">IFERROR(IF(Inputs!$E$14 = "Semi-annual",(F75/OFFSET(F75,0,-2,,))-1,(F75/OFFSET(F75,0,-4,,))-1),"")</f>
        <v>-4.8920157085652449E-2</v>
      </c>
      <c r="G76" s="2">
        <f ca="1">IFERROR(IF(Inputs!$E$14 = "Semi-annual",(G75/OFFSET(G75,0,-2,,))-1,(G75/OFFSET(G75,0,-4,,))-1),"")</f>
        <v>-9.4576170534995119E-2</v>
      </c>
      <c r="H76" s="2">
        <f ca="1">IFERROR(IF(Inputs!$E$14 = "Semi-annual",(H75/OFFSET(H75,0,-2,,))-1,(H75/OFFSET(H75,0,-4,,))-1),"")</f>
        <v>-9.9361729097693141E-2</v>
      </c>
      <c r="I76" s="2">
        <f ca="1">IFERROR(IF(Inputs!$E$14 = "Semi-annual",(I75/OFFSET(I75,0,-2,,))-1,(I75/OFFSET(I75,0,-4,,))-1),"")</f>
        <v>-6.8087800693442113E-2</v>
      </c>
      <c r="J76" s="2">
        <f ca="1">IFERROR(IF(Inputs!$E$14 = "Semi-annual",(J75/OFFSET(J75,0,-2,,))-1,(J75/OFFSET(J75,0,-4,,))-1),"")</f>
        <v>-7.7235431959229439E-3</v>
      </c>
      <c r="K76" s="2">
        <f ca="1">IFERROR(IF(Inputs!$E$14 = "Semi-annual",(K75/OFFSET(K75,0,-2,,))-1,(K75/OFFSET(K75,0,-4,,))-1),"")</f>
        <v>1.0438864648674162E-3</v>
      </c>
      <c r="L76" s="2">
        <f ca="1">IFERROR(IF(Inputs!$E$14 = "Semi-annual",(L75/OFFSET(L75,0,-2,,))-1,(L75/OFFSET(L75,0,-4,,))-1),"")</f>
        <v>-7.9798894460137992E-3</v>
      </c>
      <c r="M76" s="2">
        <f ca="1">IFERROR(IF(Inputs!$E$14 = "Semi-annual",(M75/OFFSET(M75,0,-2,,))-1,(M75/OFFSET(M75,0,-4,,))-1),"")</f>
        <v>1.4792519718243247E-2</v>
      </c>
      <c r="N76" s="2">
        <f ca="1">IFERROR(IF(Inputs!$E$14 = "Semi-annual",(N75/OFFSET(N75,0,-2,,))-1,(N75/OFFSET(N75,0,-4,,))-1),"")</f>
        <v>2.5534800106236544E-2</v>
      </c>
      <c r="O76" s="2">
        <f ca="1">IFERROR(IF(Inputs!$E$14 = "Semi-annual",(O75/OFFSET(O75,0,-2,,))-1,(O75/OFFSET(O75,0,-4,,))-1),"")</f>
        <v>5.8074663920167691E-2</v>
      </c>
      <c r="P76" s="2">
        <f ca="1">IFERROR(IF(Inputs!$E$14 = "Semi-annual",(P75/OFFSET(P75,0,-2,,))-1,(P75/OFFSET(P75,0,-4,,))-1),"")</f>
        <v>0.12216237960946663</v>
      </c>
      <c r="Q76" s="2">
        <f ca="1">IFERROR(IF(Inputs!$E$14 = "Semi-annual",(Q75/OFFSET(Q75,0,-2,,))-1,(Q75/OFFSET(Q75,0,-4,,))-1),"")</f>
        <v>6.1311663842857023E-2</v>
      </c>
      <c r="R76" s="2">
        <f ca="1">IFERROR(IF(Inputs!$E$14 = "Semi-annual",(R75/OFFSET(R75,0,-2,,))-1,(R75/OFFSET(R75,0,-4,,))-1),"")</f>
        <v>1.4452144927623589E-3</v>
      </c>
      <c r="S76" s="2">
        <f ca="1">IFERROR(IF(Inputs!$E$14 = "Semi-annual",(S75/OFFSET(S75,0,-2,,))-1,(S75/OFFSET(S75,0,-4,,))-1),"")</f>
        <v>1.2624119659927713E-2</v>
      </c>
      <c r="T76" s="2">
        <f ca="1">IFERROR(IF(Inputs!$E$14 = "Semi-annual",(T75/OFFSET(T75,0,-2,,))-1,(T75/OFFSET(T75,0,-4,,))-1),"")</f>
        <v>-8.3928051199855247E-4</v>
      </c>
      <c r="U76" s="2">
        <f ca="1">IFERROR(IF(Inputs!$E$14 = "Semi-annual",(U75/OFFSET(U75,0,-2,,))-1,(U75/OFFSET(U75,0,-4,,))-1),"")</f>
        <v>-3.6977398662939254E-2</v>
      </c>
      <c r="V76" s="2">
        <f ca="1">IFERROR(IF(Inputs!$E$14 = "Semi-annual",(V75/OFFSET(V75,0,-2,,))-1,(V75/OFFSET(V75,0,-4,,))-1),"")</f>
        <v>4.3927384806518033E-2</v>
      </c>
      <c r="W76" s="2">
        <f ca="1">IFERROR(IF(Inputs!$E$14 = "Semi-annual",(W75/OFFSET(W75,0,-2,,))-1,(W75/OFFSET(W75,0,-4,,))-1),"")</f>
        <v>3.111003796357739</v>
      </c>
      <c r="X76" s="2">
        <f ca="1">IFERROR(IF(Inputs!$E$14 = "Semi-annual",(X75/OFFSET(X75,0,-2,,))-1,(X75/OFFSET(X75,0,-4,,))-1),"")</f>
        <v>0.49999796110605921</v>
      </c>
      <c r="Y76" s="2">
        <f ca="1">IFERROR(IF(Inputs!$E$14 = "Semi-annual",(Y75/OFFSET(Y75,0,-2,,))-1,(Y75/OFFSET(Y75,0,-4,,))-1),"")</f>
        <v>0.67379678638941387</v>
      </c>
      <c r="Z76" s="2">
        <f ca="1">IFERROR(IF(Inputs!$E$14 = "Semi-annual",(Z75/OFFSET(Z75,0,-2,,))-1,(Z75/OFFSET(Z75,0,-4,,))-1),"")</f>
        <v>1.0568201175970824</v>
      </c>
      <c r="AA76" s="2">
        <f ca="1">IFERROR(IF(Inputs!$E$14 = "Semi-annual",(AA75/OFFSET(AA75,0,-2,,))-1,(AA75/OFFSET(AA75,0,-4,,))-1),"")</f>
        <v>-0.31066193853427893</v>
      </c>
      <c r="AB76" s="2">
        <f ca="1">IFERROR(IF(Inputs!$E$14 = "Semi-annual",(AB75/OFFSET(AB75,0,-2,,))-1,(AB75/OFFSET(AB75,0,-4,,))-1),"")</f>
        <v>-8.3530893465698641E-3</v>
      </c>
    </row>
    <row r="77" spans="1:28" x14ac:dyDescent="0.3">
      <c r="A77" s="85" t="s">
        <v>463</v>
      </c>
      <c r="B77" s="5">
        <f t="shared" ref="B77:D77" si="125">IFERROR(-B16*100/B52, "N/A")</f>
        <v>3.2287973820561766</v>
      </c>
      <c r="C77" s="5">
        <f t="shared" si="125"/>
        <v>3.2187562090204649</v>
      </c>
      <c r="D77" s="5">
        <f t="shared" si="125"/>
        <v>2.9615466326747399</v>
      </c>
      <c r="E77" s="5">
        <f t="shared" ref="E77:R77" si="126">IFERROR(-E16*100/E52, "N/A")</f>
        <v>2.7929408023742646</v>
      </c>
      <c r="F77" s="5">
        <f t="shared" si="126"/>
        <v>2.2487772903746279</v>
      </c>
      <c r="G77" s="5">
        <f t="shared" si="126"/>
        <v>2.358575008950949</v>
      </c>
      <c r="H77" s="5">
        <f t="shared" si="126"/>
        <v>2.487876871178579</v>
      </c>
      <c r="I77" s="5">
        <f t="shared" si="126"/>
        <v>2.7069847449187452</v>
      </c>
      <c r="J77" s="5">
        <f t="shared" si="126"/>
        <v>2.8784834454442212</v>
      </c>
      <c r="K77" s="5">
        <f t="shared" si="126"/>
        <v>2.7645226170288284</v>
      </c>
      <c r="L77" s="5">
        <f t="shared" si="126"/>
        <v>3.030595813204509</v>
      </c>
      <c r="M77" s="5">
        <f t="shared" si="126"/>
        <v>3.038320036377165</v>
      </c>
      <c r="N77" s="5">
        <f t="shared" si="126"/>
        <v>3.3183171104496823</v>
      </c>
      <c r="O77" s="5">
        <f t="shared" si="126"/>
        <v>3.5351498038065201</v>
      </c>
      <c r="P77" s="5">
        <f t="shared" si="126"/>
        <v>4.1373691040226941</v>
      </c>
      <c r="Q77" s="5">
        <f t="shared" si="126"/>
        <v>3.1604031564966011</v>
      </c>
      <c r="R77" s="5">
        <f t="shared" si="126"/>
        <v>3.3863776137761379</v>
      </c>
      <c r="S77" s="5">
        <f t="shared" ref="S77:T77" si="127">IFERROR(-S16*100/S52, "N/A")</f>
        <v>3.5506986743102829</v>
      </c>
      <c r="T77" s="5">
        <f t="shared" si="127"/>
        <v>3.3675324275194871</v>
      </c>
      <c r="U77" s="5">
        <f t="shared" ref="U77:Y77" si="128">IFERROR(-U16*100/U52, "N/A")</f>
        <v>3.3937421966630095</v>
      </c>
      <c r="V77" s="5">
        <f t="shared" si="128"/>
        <v>3.5557823997277871</v>
      </c>
      <c r="W77" s="5">
        <f t="shared" si="128"/>
        <v>5.5283102987070887</v>
      </c>
      <c r="X77" s="5">
        <f t="shared" si="128"/>
        <v>2.9416708690536226</v>
      </c>
      <c r="Y77" s="5">
        <f t="shared" si="128"/>
        <v>3.1166666666666667</v>
      </c>
      <c r="Z77" s="5">
        <f t="shared" ref="Z77:AA77" si="129">IFERROR(-Z16*100/Z52, "N/A")</f>
        <v>4.7494656851104251</v>
      </c>
      <c r="AA77" s="5">
        <f t="shared" si="129"/>
        <v>5.9749999999999996</v>
      </c>
      <c r="AB77" s="5">
        <f t="shared" ref="AB77" si="130">IFERROR(-AB16*100/AB52, "N/A")</f>
        <v>4.2461317020510974</v>
      </c>
    </row>
    <row r="78" spans="1:28" x14ac:dyDescent="0.3">
      <c r="A78" s="85" t="s">
        <v>0</v>
      </c>
      <c r="B78" s="40"/>
      <c r="C78" s="2" t="str">
        <f ca="1">IFERROR(IF(Inputs!$E$14 = "Semi-annual",(C77/OFFSET(C77,0,-2,,))-1,(C77/OFFSET(C77,0,-4,,))-1),"")</f>
        <v/>
      </c>
      <c r="D78" s="2" t="str">
        <f ca="1">IFERROR(IF(Inputs!$E$14 = "Semi-annual",(D77/OFFSET(D77,0,-2,,))-1,(D77/OFFSET(D77,0,-4,,))-1),"")</f>
        <v/>
      </c>
      <c r="E78" s="2" t="str">
        <f ca="1">IFERROR(IF(Inputs!$E$14 = "Semi-annual",(E77/OFFSET(E77,0,-2,,))-1,(E77/OFFSET(E77,0,-4,,))-1),"")</f>
        <v/>
      </c>
      <c r="F78" s="2">
        <f ca="1">IFERROR(IF(Inputs!$E$14 = "Semi-annual",(F77/OFFSET(F77,0,-2,,))-1,(F77/OFFSET(F77,0,-4,,))-1),"")</f>
        <v>-0.30352480373279045</v>
      </c>
      <c r="G78" s="2">
        <f ca="1">IFERROR(IF(Inputs!$E$14 = "Semi-annual",(G77/OFFSET(G77,0,-2,,))-1,(G77/OFFSET(G77,0,-4,,))-1),"")</f>
        <v>-0.26724024567591809</v>
      </c>
      <c r="H78" s="2">
        <f ca="1">IFERROR(IF(Inputs!$E$14 = "Semi-annual",(H77/OFFSET(H77,0,-2,,))-1,(H77/OFFSET(H77,0,-4,,))-1),"")</f>
        <v>-0.15993999765871081</v>
      </c>
      <c r="I78" s="2">
        <f ca="1">IFERROR(IF(Inputs!$E$14 = "Semi-annual",(I77/OFFSET(I77,0,-2,,))-1,(I77/OFFSET(I77,0,-4,,))-1),"")</f>
        <v>-3.077618307643637E-2</v>
      </c>
      <c r="J78" s="2">
        <f ca="1">IFERROR(IF(Inputs!$E$14 = "Semi-annual",(J77/OFFSET(J77,0,-2,,))-1,(J77/OFFSET(J77,0,-4,,))-1),"")</f>
        <v>0.28002157339675438</v>
      </c>
      <c r="K78" s="2">
        <f ca="1">IFERROR(IF(Inputs!$E$14 = "Semi-annual",(K77/OFFSET(K77,0,-2,,))-1,(K77/OFFSET(K77,0,-4,,))-1),"")</f>
        <v>0.17211562343248832</v>
      </c>
      <c r="L78" s="2">
        <f ca="1">IFERROR(IF(Inputs!$E$14 = "Semi-annual",(L77/OFFSET(L77,0,-2,,))-1,(L77/OFFSET(L77,0,-4,,))-1),"")</f>
        <v>0.21814541881601568</v>
      </c>
      <c r="M78" s="2">
        <f ca="1">IFERROR(IF(Inputs!$E$14 = "Semi-annual",(M77/OFFSET(M77,0,-2,,))-1,(M77/OFFSET(M77,0,-4,,))-1),"")</f>
        <v>0.12240013250180515</v>
      </c>
      <c r="N78" s="2">
        <f ca="1">IFERROR(IF(Inputs!$E$14 = "Semi-annual",(N77/OFFSET(N77,0,-2,,))-1,(N77/OFFSET(N77,0,-4,,))-1),"")</f>
        <v>0.15280048447094119</v>
      </c>
      <c r="O78" s="2">
        <f ca="1">IFERROR(IF(Inputs!$E$14 = "Semi-annual",(O77/OFFSET(O77,0,-2,,))-1,(O77/OFFSET(O77,0,-4,,))-1),"")</f>
        <v>0.2787559711144354</v>
      </c>
      <c r="P78" s="2">
        <f ca="1">IFERROR(IF(Inputs!$E$14 = "Semi-annual",(P77/OFFSET(P77,0,-2,,))-1,(P77/OFFSET(P77,0,-4,,))-1),"")</f>
        <v>0.3651999009554161</v>
      </c>
      <c r="Q78" s="2">
        <f ca="1">IFERROR(IF(Inputs!$E$14 = "Semi-annual",(Q77/OFFSET(Q77,0,-2,,))-1,(Q77/OFFSET(Q77,0,-4,,))-1),"")</f>
        <v>4.0181125970194298E-2</v>
      </c>
      <c r="R78" s="2">
        <f ca="1">IFERROR(IF(Inputs!$E$14 = "Semi-annual",(R77/OFFSET(R77,0,-2,,))-1,(R77/OFFSET(R77,0,-4,,))-1),"")</f>
        <v>2.0510548287301145E-2</v>
      </c>
      <c r="S78" s="2">
        <f ca="1">IFERROR(IF(Inputs!$E$14 = "Semi-annual",(S77/OFFSET(S77,0,-2,,))-1,(S77/OFFSET(S77,0,-4,,))-1),"")</f>
        <v>4.3983625494512513E-3</v>
      </c>
      <c r="T78" s="2">
        <f ca="1">IFERROR(IF(Inputs!$E$14 = "Semi-annual",(T77/OFFSET(T77,0,-2,,))-1,(T77/OFFSET(T77,0,-4,,))-1),"")</f>
        <v>-0.18606913165052341</v>
      </c>
      <c r="U78" s="2">
        <f ca="1">IFERROR(IF(Inputs!$E$14 = "Semi-annual",(U77/OFFSET(U77,0,-2,,))-1,(U77/OFFSET(U77,0,-4,,))-1),"")</f>
        <v>7.3832048827932262E-2</v>
      </c>
      <c r="V78" s="2">
        <f ca="1">IFERROR(IF(Inputs!$E$14 = "Semi-annual",(V77/OFFSET(V77,0,-2,,))-1,(V77/OFFSET(V77,0,-4,,))-1),"")</f>
        <v>5.002536789237344E-2</v>
      </c>
      <c r="W78" s="2">
        <f ca="1">IFERROR(IF(Inputs!$E$14 = "Semi-annual",(W77/OFFSET(W77,0,-2,,))-1,(W77/OFFSET(W77,0,-4,,))-1),"")</f>
        <v>0.55696408109903994</v>
      </c>
      <c r="X78" s="2">
        <f ca="1">IFERROR(IF(Inputs!$E$14 = "Semi-annual",(X77/OFFSET(X77,0,-2,,))-1,(X77/OFFSET(X77,0,-4,,))-1),"")</f>
        <v>-0.12646101192247539</v>
      </c>
      <c r="Y78" s="2">
        <f ca="1">IFERROR(IF(Inputs!$E$14 = "Semi-annual",(Y77/OFFSET(Y77,0,-2,,))-1,(Y77/OFFSET(Y77,0,-4,,))-1),"")</f>
        <v>-8.1643069490895614E-2</v>
      </c>
      <c r="Z78" s="2">
        <f ca="1">IFERROR(IF(Inputs!$E$14 = "Semi-annual",(Z77/OFFSET(Z77,0,-2,,))-1,(Z77/OFFSET(Z77,0,-4,,))-1),"")</f>
        <v>0.33570200625156943</v>
      </c>
      <c r="AA78" s="2">
        <f ca="1">IFERROR(IF(Inputs!$E$14 = "Semi-annual",(AA77/OFFSET(AA77,0,-2,,))-1,(AA77/OFFSET(AA77,0,-4,,))-1),"")</f>
        <v>8.0800403225806505E-2</v>
      </c>
      <c r="AB78" s="2">
        <f ca="1">IFERROR(IF(Inputs!$E$14 = "Semi-annual",(AB77/OFFSET(AB77,0,-2,,))-1,(AB77/OFFSET(AB77,0,-4,,))-1),"")</f>
        <v>0.44344214260011294</v>
      </c>
    </row>
    <row r="79" spans="1:28" x14ac:dyDescent="0.3">
      <c r="A79" s="85" t="s">
        <v>464</v>
      </c>
      <c r="B79" s="5">
        <f t="shared" ref="B79:D79" si="131">IFERROR(-(B24-B16)*100/B52, "N/A")</f>
        <v>12.118898281974365</v>
      </c>
      <c r="C79" s="5">
        <f t="shared" si="131"/>
        <v>10.952712100139083</v>
      </c>
      <c r="D79" s="5">
        <f t="shared" si="131"/>
        <v>9.5899723815593791</v>
      </c>
      <c r="E79" s="5">
        <f t="shared" ref="E79:R79" si="132">IFERROR(-(E24-E16)*100/E52, "N/A")</f>
        <v>11.70173300121893</v>
      </c>
      <c r="F79" s="5">
        <f t="shared" si="132"/>
        <v>12.348106690868754</v>
      </c>
      <c r="G79" s="5">
        <f t="shared" si="132"/>
        <v>10.472610096670246</v>
      </c>
      <c r="H79" s="5">
        <f t="shared" si="132"/>
        <v>8.8165015109986644</v>
      </c>
      <c r="I79" s="5">
        <f t="shared" si="132"/>
        <v>10.80077859761894</v>
      </c>
      <c r="J79" s="5">
        <f t="shared" si="132"/>
        <v>11.605660871844151</v>
      </c>
      <c r="K79" s="5">
        <f t="shared" si="132"/>
        <v>10.080056789052332</v>
      </c>
      <c r="L79" s="5">
        <f t="shared" si="132"/>
        <v>8.183574879227054</v>
      </c>
      <c r="M79" s="5">
        <f t="shared" si="132"/>
        <v>10.669257161754372</v>
      </c>
      <c r="N79" s="5">
        <f t="shared" si="132"/>
        <v>11.535676936690532</v>
      </c>
      <c r="O79" s="5">
        <f t="shared" si="132"/>
        <v>10.055374234478712</v>
      </c>
      <c r="P79" s="5">
        <f t="shared" si="132"/>
        <v>8.4467513655430491</v>
      </c>
      <c r="Q79" s="5">
        <f t="shared" si="132"/>
        <v>11.387608406906789</v>
      </c>
      <c r="R79" s="5">
        <f t="shared" si="132"/>
        <v>11.489083640836409</v>
      </c>
      <c r="S79" s="5">
        <f t="shared" ref="S79:T79" si="133">IFERROR(-(S24-S16)*100/S52, "N/A")</f>
        <v>10.211393765675385</v>
      </c>
      <c r="T79" s="5">
        <f t="shared" si="133"/>
        <v>9.2060264349755059</v>
      </c>
      <c r="U79" s="5">
        <f t="shared" ref="U79:Y79" si="134">IFERROR(-(U24-U16)*100/U52, "N/A")</f>
        <v>10.616321743407363</v>
      </c>
      <c r="V79" s="5">
        <f t="shared" si="134"/>
        <v>11.973118965590574</v>
      </c>
      <c r="W79" s="5">
        <f t="shared" si="134"/>
        <v>51.047703967900134</v>
      </c>
      <c r="X79" s="5">
        <f t="shared" si="134"/>
        <v>15.918641788535888</v>
      </c>
      <c r="Y79" s="5">
        <f t="shared" si="134"/>
        <v>20.333333333333332</v>
      </c>
      <c r="Z79" s="5">
        <f t="shared" ref="Z79:AA79" si="135">IFERROR(-(Z24-Z16)*100/Z52, "N/A")</f>
        <v>27.190691047257182</v>
      </c>
      <c r="AA79" s="5">
        <f t="shared" si="135"/>
        <v>33.024999999999999</v>
      </c>
      <c r="AB79" s="5">
        <f t="shared" ref="AB79" si="136">IFERROR(-(AB24-AB16)*100/AB52, "N/A")</f>
        <v>14.456639078805326</v>
      </c>
    </row>
    <row r="80" spans="1:28" x14ac:dyDescent="0.3">
      <c r="A80" s="85" t="s">
        <v>0</v>
      </c>
      <c r="B80" s="40"/>
      <c r="C80" s="2" t="str">
        <f ca="1">IFERROR(IF(Inputs!$E$14 = "Semi-annual",(C79/OFFSET(C79,0,-2,,))-1,(C79/OFFSET(C79,0,-4,,))-1),"")</f>
        <v/>
      </c>
      <c r="D80" s="2" t="str">
        <f ca="1">IFERROR(IF(Inputs!$E$14 = "Semi-annual",(D79/OFFSET(D79,0,-2,,))-1,(D79/OFFSET(D79,0,-4,,))-1),"")</f>
        <v/>
      </c>
      <c r="E80" s="2" t="str">
        <f ca="1">IFERROR(IF(Inputs!$E$14 = "Semi-annual",(E79/OFFSET(E79,0,-2,,))-1,(E79/OFFSET(E79,0,-4,,))-1),"")</f>
        <v/>
      </c>
      <c r="F80" s="2">
        <f ca="1">IFERROR(IF(Inputs!$E$14 = "Semi-annual",(F79/OFFSET(F79,0,-2,,))-1,(F79/OFFSET(F79,0,-4,,))-1),"")</f>
        <v>1.8913304127266439E-2</v>
      </c>
      <c r="G80" s="2">
        <f ca="1">IFERROR(IF(Inputs!$E$14 = "Semi-annual",(G79/OFFSET(G79,0,-2,,))-1,(G79/OFFSET(G79,0,-4,,))-1),"")</f>
        <v>-4.3834074983376881E-2</v>
      </c>
      <c r="H80" s="2">
        <f ca="1">IFERROR(IF(Inputs!$E$14 = "Semi-annual",(H79/OFFSET(H79,0,-2,,))-1,(H79/OFFSET(H79,0,-4,,))-1),"")</f>
        <v>-8.0654129103440053E-2</v>
      </c>
      <c r="I80" s="2">
        <f ca="1">IFERROR(IF(Inputs!$E$14 = "Semi-annual",(I79/OFFSET(I79,0,-2,,))-1,(I79/OFFSET(I79,0,-4,,))-1),"")</f>
        <v>-7.6993245659095155E-2</v>
      </c>
      <c r="J80" s="2">
        <f ca="1">IFERROR(IF(Inputs!$E$14 = "Semi-annual",(J79/OFFSET(J79,0,-2,,))-1,(J79/OFFSET(J79,0,-4,,))-1),"")</f>
        <v>-6.0126287989852756E-2</v>
      </c>
      <c r="K80" s="2">
        <f ca="1">IFERROR(IF(Inputs!$E$14 = "Semi-annual",(K79/OFFSET(K79,0,-2,,))-1,(K79/OFFSET(K79,0,-4,,))-1),"")</f>
        <v>-3.7483808142797836E-2</v>
      </c>
      <c r="L80" s="2">
        <f ca="1">IFERROR(IF(Inputs!$E$14 = "Semi-annual",(L79/OFFSET(L79,0,-2,,))-1,(L79/OFFSET(L79,0,-4,,))-1),"")</f>
        <v>-7.1788864435856858E-2</v>
      </c>
      <c r="M80" s="2">
        <f ca="1">IFERROR(IF(Inputs!$E$14 = "Semi-annual",(M79/OFFSET(M79,0,-2,,))-1,(M79/OFFSET(M79,0,-4,,))-1),"")</f>
        <v>-1.2177032857016656E-2</v>
      </c>
      <c r="N80" s="2">
        <f ca="1">IFERROR(IF(Inputs!$E$14 = "Semi-annual",(N79/OFFSET(N79,0,-2,,))-1,(N79/OFFSET(N79,0,-4,,))-1),"")</f>
        <v>-6.0301551050317981E-3</v>
      </c>
      <c r="O80" s="2">
        <f ca="1">IFERROR(IF(Inputs!$E$14 = "Semi-annual",(O79/OFFSET(O79,0,-2,,))-1,(O79/OFFSET(O79,0,-4,,))-1),"")</f>
        <v>-2.4486523330331522E-3</v>
      </c>
      <c r="P80" s="2">
        <f ca="1">IFERROR(IF(Inputs!$E$14 = "Semi-annual",(P79/OFFSET(P79,0,-2,,))-1,(P79/OFFSET(P79,0,-4,,))-1),"")</f>
        <v>3.2159110193276774E-2</v>
      </c>
      <c r="Q80" s="2">
        <f ca="1">IFERROR(IF(Inputs!$E$14 = "Semi-annual",(Q79/OFFSET(Q79,0,-2,,))-1,(Q79/OFFSET(Q79,0,-4,,))-1),"")</f>
        <v>6.7329077766300482E-2</v>
      </c>
      <c r="R80" s="2">
        <f ca="1">IFERROR(IF(Inputs!$E$14 = "Semi-annual",(R79/OFFSET(R79,0,-2,,))-1,(R79/OFFSET(R79,0,-4,,))-1),"")</f>
        <v>-4.0390603958340154E-3</v>
      </c>
      <c r="S80" s="2">
        <f ca="1">IFERROR(IF(Inputs!$E$14 = "Semi-annual",(S79/OFFSET(S79,0,-2,,))-1,(S79/OFFSET(S79,0,-4,,))-1),"")</f>
        <v>1.5516034267695433E-2</v>
      </c>
      <c r="T80" s="2">
        <f ca="1">IFERROR(IF(Inputs!$E$14 = "Semi-annual",(T79/OFFSET(T79,0,-2,,))-1,(T79/OFFSET(T79,0,-4,,))-1),"")</f>
        <v>8.9889596197868293E-2</v>
      </c>
      <c r="U80" s="2">
        <f ca="1">IFERROR(IF(Inputs!$E$14 = "Semi-annual",(U79/OFFSET(U79,0,-2,,))-1,(U79/OFFSET(U79,0,-4,,))-1),"")</f>
        <v>-6.773034652575749E-2</v>
      </c>
      <c r="V80" s="2">
        <f ca="1">IFERROR(IF(Inputs!$E$14 = "Semi-annual",(V79/OFFSET(V79,0,-2,,))-1,(V79/OFFSET(V79,0,-4,,))-1),"")</f>
        <v>4.2130020103058996E-2</v>
      </c>
      <c r="W80" s="2">
        <f ca="1">IFERROR(IF(Inputs!$E$14 = "Semi-annual",(W79/OFFSET(W79,0,-2,,))-1,(W79/OFFSET(W79,0,-4,,))-1),"")</f>
        <v>3.9990926938389215</v>
      </c>
      <c r="X80" s="2">
        <f ca="1">IFERROR(IF(Inputs!$E$14 = "Semi-annual",(X79/OFFSET(X79,0,-2,,))-1,(X79/OFFSET(X79,0,-4,,))-1),"")</f>
        <v>0.72915447299367253</v>
      </c>
      <c r="Y80" s="2">
        <f ca="1">IFERROR(IF(Inputs!$E$14 = "Semi-annual",(Y79/OFFSET(Y79,0,-2,,))-1,(Y79/OFFSET(Y79,0,-4,,))-1),"")</f>
        <v>0.91528985507246352</v>
      </c>
      <c r="Z80" s="2">
        <f ca="1">IFERROR(IF(Inputs!$E$14 = "Semi-annual",(Z79/OFFSET(Z79,0,-2,,))-1,(Z79/OFFSET(Z79,0,-4,,))-1),"")</f>
        <v>1.2709781073252704</v>
      </c>
      <c r="AA80" s="2">
        <f ca="1">IFERROR(IF(Inputs!$E$14 = "Semi-annual",(AA79/OFFSET(AA79,0,-2,,))-1,(AA79/OFFSET(AA79,0,-4,,))-1),"")</f>
        <v>-0.35305611353711797</v>
      </c>
      <c r="AB80" s="2">
        <f ca="1">IFERROR(IF(Inputs!$E$14 = "Semi-annual",(AB79/OFFSET(AB79,0,-2,,))-1,(AB79/OFFSET(AB79,0,-4,,))-1),"")</f>
        <v>-9.184217655952609E-2</v>
      </c>
    </row>
    <row r="81" spans="1:28" x14ac:dyDescent="0.3">
      <c r="A81" s="85" t="s">
        <v>48</v>
      </c>
      <c r="B81" s="2">
        <f t="shared" ref="B81:D81" si="137">IFERROR(B26/B13, "N/A")</f>
        <v>0.13388734995383195</v>
      </c>
      <c r="C81" s="2">
        <f t="shared" si="137"/>
        <v>0.16432337434094904</v>
      </c>
      <c r="D81" s="2">
        <f t="shared" si="137"/>
        <v>0.26572209793686302</v>
      </c>
      <c r="E81" s="2">
        <f t="shared" ref="E81:R81" si="138">IFERROR(E26/E13, "N/A")</f>
        <v>0.1404776869893149</v>
      </c>
      <c r="F81" s="2">
        <f t="shared" si="138"/>
        <v>0.13401136703559677</v>
      </c>
      <c r="G81" s="2">
        <f t="shared" si="138"/>
        <v>0.17090803932909196</v>
      </c>
      <c r="H81" s="2">
        <f t="shared" si="138"/>
        <v>0.27724106942260168</v>
      </c>
      <c r="I81" s="2">
        <f t="shared" si="138"/>
        <v>0.12875912408759124</v>
      </c>
      <c r="J81" s="2">
        <f t="shared" si="138"/>
        <v>8.9511257550796267E-2</v>
      </c>
      <c r="K81" s="2">
        <f t="shared" si="138"/>
        <v>0.1670076726342711</v>
      </c>
      <c r="L81" s="2">
        <f t="shared" si="138"/>
        <v>0.28647540983606556</v>
      </c>
      <c r="M81" s="2">
        <f t="shared" si="138"/>
        <v>0.1319371727748691</v>
      </c>
      <c r="N81" s="2">
        <f t="shared" si="138"/>
        <v>9.2851879145173177E-2</v>
      </c>
      <c r="O81" s="2">
        <f t="shared" si="138"/>
        <v>0.14470343872605584</v>
      </c>
      <c r="P81" s="2">
        <f t="shared" si="138"/>
        <v>0.22991689750692521</v>
      </c>
      <c r="Q81" s="2">
        <f t="shared" si="138"/>
        <v>0.12293923692887423</v>
      </c>
      <c r="R81" s="2">
        <f t="shared" si="138"/>
        <v>0.13092297327644284</v>
      </c>
      <c r="S81" s="2">
        <f t="shared" ref="S81:T81" si="139">IFERROR(S26/S13, "N/A")</f>
        <v>0.1925583350851377</v>
      </c>
      <c r="T81" s="2">
        <f t="shared" si="139"/>
        <v>0.26508193769133803</v>
      </c>
      <c r="U81" s="2">
        <f t="shared" ref="U81:Y81" si="140">IFERROR(U26/U13, "N/A")</f>
        <v>0.15224358974358973</v>
      </c>
      <c r="V81" s="2">
        <f t="shared" si="140"/>
        <v>1.9075765717356259E-2</v>
      </c>
      <c r="W81" s="2">
        <f t="shared" si="140"/>
        <v>-1.4079696394686907</v>
      </c>
      <c r="X81" s="2">
        <f t="shared" si="140"/>
        <v>-0.48216644649933948</v>
      </c>
      <c r="Y81" s="2">
        <f t="shared" si="140"/>
        <v>-0.70133010882708591</v>
      </c>
      <c r="Z81" s="2">
        <f t="shared" ref="Z81:AA81" si="141">IFERROR(Z26/Z13, "N/A")</f>
        <v>-0.84499314128943759</v>
      </c>
      <c r="AA81" s="2">
        <f t="shared" si="141"/>
        <v>-0.86379928315412191</v>
      </c>
      <c r="AB81" s="2">
        <f t="shared" ref="AB81" si="142">IFERROR(AB26/AB13, "N/A")</f>
        <v>1.1412268188302425E-2</v>
      </c>
    </row>
    <row r="82" spans="1:28" x14ac:dyDescent="0.3">
      <c r="A82" s="85" t="s">
        <v>465</v>
      </c>
      <c r="B82" s="2">
        <f>IFERROR(B75/B63, "N/A")</f>
        <v>0.70559719954947431</v>
      </c>
      <c r="C82" s="2">
        <f t="shared" ref="C82:D82" si="143">IFERROR(C75/C63, "N/A")</f>
        <v>0.69923369557056991</v>
      </c>
      <c r="D82" s="2">
        <f t="shared" si="143"/>
        <v>0.63840214285174879</v>
      </c>
      <c r="E82" s="2">
        <f t="shared" ref="E82:R82" si="144">IFERROR(E75/E63, "N/A")</f>
        <v>0.69699246973217932</v>
      </c>
      <c r="F82" s="2">
        <f t="shared" si="144"/>
        <v>0.70264151069748282</v>
      </c>
      <c r="G82" s="2">
        <f t="shared" si="144"/>
        <v>0.68341459593791543</v>
      </c>
      <c r="H82" s="2">
        <f t="shared" si="144"/>
        <v>0.61786770901282417</v>
      </c>
      <c r="I82" s="2">
        <f t="shared" si="144"/>
        <v>0.6958174267223135</v>
      </c>
      <c r="J82" s="2">
        <f t="shared" si="144"/>
        <v>0.729417053606222</v>
      </c>
      <c r="K82" s="2">
        <f t="shared" si="144"/>
        <v>0.68749707879914712</v>
      </c>
      <c r="L82" s="2">
        <f t="shared" si="144"/>
        <v>0.60832280034845965</v>
      </c>
      <c r="M82" s="2">
        <f t="shared" si="144"/>
        <v>0.69600043804963174</v>
      </c>
      <c r="N82" s="2">
        <f t="shared" si="144"/>
        <v>0.74580112582546298</v>
      </c>
      <c r="O82" s="2">
        <f t="shared" si="144"/>
        <v>0.71054634563423413</v>
      </c>
      <c r="P82" s="2">
        <f t="shared" si="144"/>
        <v>0.66150875192278635</v>
      </c>
      <c r="Q82" s="2">
        <f t="shared" si="144"/>
        <v>0.71270181001025423</v>
      </c>
      <c r="R82" s="2">
        <f t="shared" si="144"/>
        <v>0.71130293396466415</v>
      </c>
      <c r="S82" s="2">
        <f t="shared" ref="S82:T82" si="145">IFERROR(S75/S63, "N/A")</f>
        <v>0.67878910010381277</v>
      </c>
      <c r="T82" s="2">
        <f t="shared" si="145"/>
        <v>0.63295743641668467</v>
      </c>
      <c r="U82" s="2">
        <f t="shared" ref="U82:Y82" si="146">IFERROR(U75/U63, "N/A")</f>
        <v>0.68648671819900675</v>
      </c>
      <c r="V82" s="2">
        <f t="shared" si="146"/>
        <v>0.73042578238212941</v>
      </c>
      <c r="W82" s="2">
        <f t="shared" si="146"/>
        <v>0.84058859906553052</v>
      </c>
      <c r="X82" s="2">
        <f t="shared" si="146"/>
        <v>0.62709916722791015</v>
      </c>
      <c r="Y82" s="2">
        <f t="shared" si="146"/>
        <v>0.6896058041112455</v>
      </c>
      <c r="Z82" s="2">
        <f t="shared" ref="Z82:AA82" si="147">IFERROR(Z75/Z63, "N/A")</f>
        <v>0.80222807924506301</v>
      </c>
      <c r="AA82" s="2">
        <f t="shared" si="147"/>
        <v>0.78605734767025093</v>
      </c>
      <c r="AB82" s="2">
        <f t="shared" ref="AB82" si="148">IFERROR(AB75/AB63, "N/A")</f>
        <v>0.7039107500260513</v>
      </c>
    </row>
    <row r="83" spans="1:28" x14ac:dyDescent="0.3">
      <c r="A83" s="85" t="s">
        <v>466</v>
      </c>
      <c r="B83" s="5">
        <f t="shared" ref="B83:D83" si="149">IFERROR((B13-B30)*100/B52, "N/A")</f>
        <v>16.629397327515679</v>
      </c>
      <c r="C83" s="5">
        <f t="shared" si="149"/>
        <v>15.467911782237234</v>
      </c>
      <c r="D83" s="5">
        <f t="shared" si="149"/>
        <v>13.630762693860207</v>
      </c>
      <c r="E83" s="5">
        <f t="shared" ref="E83:R83" si="150">IFERROR((E13-E30)*100/E52, "N/A")</f>
        <v>15.861995866235624</v>
      </c>
      <c r="F83" s="5">
        <f t="shared" si="150"/>
        <v>16.079261836333384</v>
      </c>
      <c r="G83" s="5">
        <f t="shared" si="150"/>
        <v>14.236484067311135</v>
      </c>
      <c r="H83" s="5">
        <f t="shared" si="150"/>
        <v>12.492093611638204</v>
      </c>
      <c r="I83" s="5">
        <f t="shared" si="150"/>
        <v>15.010637816305282</v>
      </c>
      <c r="J83" s="5">
        <f t="shared" si="150"/>
        <v>16.012929151742814</v>
      </c>
      <c r="K83" s="5">
        <f t="shared" si="150"/>
        <v>14.311629924675632</v>
      </c>
      <c r="L83" s="5">
        <f t="shared" si="150"/>
        <v>12.392914653784219</v>
      </c>
      <c r="M83" s="5">
        <f t="shared" si="150"/>
        <v>15.241205406969534</v>
      </c>
      <c r="N83" s="5">
        <f t="shared" si="150"/>
        <v>16.430697449923578</v>
      </c>
      <c r="O83" s="5">
        <f t="shared" si="150"/>
        <v>15.061058344640434</v>
      </c>
      <c r="P83" s="5">
        <f t="shared" si="150"/>
        <v>13.806319220207019</v>
      </c>
      <c r="Q83" s="5">
        <f t="shared" si="150"/>
        <v>16.110633643253379</v>
      </c>
      <c r="R83" s="5">
        <f t="shared" si="150"/>
        <v>16.628228782287824</v>
      </c>
      <c r="S83" s="5">
        <f t="shared" ref="S83:T83" si="151">IFERROR((S13-S30)*100/S52, "N/A")</f>
        <v>15.532067359369401</v>
      </c>
      <c r="T83" s="5">
        <f t="shared" si="151"/>
        <v>14.163354592229719</v>
      </c>
      <c r="U83" s="5">
        <f t="shared" ref="U83:Y83" si="152">IFERROR((U13-U30)*100/U52, "N/A")</f>
        <v>15.97745072074458</v>
      </c>
      <c r="V83" s="5">
        <f t="shared" si="152"/>
        <v>17.672578792905448</v>
      </c>
      <c r="W83" s="5">
        <f t="shared" si="152"/>
        <v>78.288007133303608</v>
      </c>
      <c r="X83" s="5">
        <f t="shared" si="152"/>
        <v>25.920322743318206</v>
      </c>
      <c r="Y83" s="5">
        <f t="shared" si="152"/>
        <v>30.75</v>
      </c>
      <c r="Z83" s="5">
        <f t="shared" ref="Z83:AA83" si="153">IFERROR((Z13-Z30)*100/Z52, "N/A")</f>
        <v>41.747803372120636</v>
      </c>
      <c r="AA83" s="5">
        <f t="shared" si="153"/>
        <v>49.1</v>
      </c>
      <c r="AB83" s="5">
        <f t="shared" ref="AB83" si="154">IFERROR((AB13-AB30)*100/AB52, "N/A")</f>
        <v>22.301187477509895</v>
      </c>
    </row>
    <row r="84" spans="1:28" x14ac:dyDescent="0.3">
      <c r="A84" s="85" t="s">
        <v>0</v>
      </c>
      <c r="B84" s="40"/>
      <c r="C84" s="2" t="str">
        <f ca="1">IFERROR(IF(Inputs!$E$14 = "Semi-annual",(C83/OFFSET(C83,0,-2,,))-1,(C83/OFFSET(C83,0,-4,,))-1),"")</f>
        <v/>
      </c>
      <c r="D84" s="2" t="str">
        <f ca="1">IFERROR(IF(Inputs!$E$14 = "Semi-annual",(D83/OFFSET(D83,0,-2,,))-1,(D83/OFFSET(D83,0,-4,,))-1),"")</f>
        <v/>
      </c>
      <c r="E84" s="2" t="str">
        <f ca="1">IFERROR(IF(Inputs!$E$14 = "Semi-annual",(E83/OFFSET(E83,0,-2,,))-1,(E83/OFFSET(E83,0,-4,,))-1),"")</f>
        <v/>
      </c>
      <c r="F84" s="2">
        <f ca="1">IFERROR(IF(Inputs!$E$14 = "Semi-annual",(F83/OFFSET(F83,0,-2,,))-1,(F83/OFFSET(F83,0,-4,,))-1),"")</f>
        <v>-3.3082106365455499E-2</v>
      </c>
      <c r="G84" s="2">
        <f ca="1">IFERROR(IF(Inputs!$E$14 = "Semi-annual",(G83/OFFSET(G83,0,-2,,))-1,(G83/OFFSET(G83,0,-4,,))-1),"")</f>
        <v>-7.9611762225087368E-2</v>
      </c>
      <c r="H84" s="2">
        <f ca="1">IFERROR(IF(Inputs!$E$14 = "Semi-annual",(H83/OFFSET(H83,0,-2,,))-1,(H83/OFFSET(H83,0,-4,,))-1),"")</f>
        <v>-8.3536710879348108E-2</v>
      </c>
      <c r="I84" s="2">
        <f ca="1">IFERROR(IF(Inputs!$E$14 = "Semi-annual",(I83/OFFSET(I83,0,-2,,))-1,(I83/OFFSET(I83,0,-4,,))-1),"")</f>
        <v>-5.3672820060593485E-2</v>
      </c>
      <c r="J84" s="2">
        <f ca="1">IFERROR(IF(Inputs!$E$14 = "Semi-annual",(J83/OFFSET(J83,0,-2,,))-1,(J83/OFFSET(J83,0,-4,,))-1),"")</f>
        <v>-4.1253563295227114E-3</v>
      </c>
      <c r="K84" s="2">
        <f ca="1">IFERROR(IF(Inputs!$E$14 = "Semi-annual",(K83/OFFSET(K83,0,-2,,))-1,(K83/OFFSET(K83,0,-4,,))-1),"")</f>
        <v>5.2783999904191248E-3</v>
      </c>
      <c r="L84" s="2">
        <f ca="1">IFERROR(IF(Inputs!$E$14 = "Semi-annual",(L83/OFFSET(L83,0,-2,,))-1,(L83/OFFSET(L83,0,-4,,))-1),"")</f>
        <v>-7.9393383477037727E-3</v>
      </c>
      <c r="M84" s="2">
        <f ca="1">IFERROR(IF(Inputs!$E$14 = "Semi-annual",(M83/OFFSET(M83,0,-2,,))-1,(M83/OFFSET(M83,0,-4,,))-1),"")</f>
        <v>1.5360279388914266E-2</v>
      </c>
      <c r="N84" s="2">
        <f ca="1">IFERROR(IF(Inputs!$E$14 = "Semi-annual",(N83/OFFSET(N83,0,-2,,))-1,(N83/OFFSET(N83,0,-4,,))-1),"")</f>
        <v>2.6089436493590856E-2</v>
      </c>
      <c r="O84" s="2">
        <f ca="1">IFERROR(IF(Inputs!$E$14 = "Semi-annual",(O83/OFFSET(O83,0,-2,,))-1,(O83/OFFSET(O83,0,-4,,))-1),"")</f>
        <v>5.2364994337413817E-2</v>
      </c>
      <c r="P84" s="2">
        <f ca="1">IFERROR(IF(Inputs!$E$14 = "Semi-annual",(P83/OFFSET(P83,0,-2,,))-1,(P83/OFFSET(P83,0,-4,,))-1),"")</f>
        <v>0.11404940693198529</v>
      </c>
      <c r="Q84" s="2">
        <f ca="1">IFERROR(IF(Inputs!$E$14 = "Semi-annual",(Q83/OFFSET(Q83,0,-2,,))-1,(Q83/OFFSET(Q83,0,-4,,))-1),"")</f>
        <v>5.7044584930682207E-2</v>
      </c>
      <c r="R84" s="2">
        <f ca="1">IFERROR(IF(Inputs!$E$14 = "Semi-annual",(R83/OFFSET(R83,0,-2,,))-1,(R83/OFFSET(R83,0,-4,,))-1),"")</f>
        <v>1.2022090539142827E-2</v>
      </c>
      <c r="S84" s="2">
        <f ca="1">IFERROR(IF(Inputs!$E$14 = "Semi-annual",(S83/OFFSET(S83,0,-2,,))-1,(S83/OFFSET(S83,0,-4,,))-1),"")</f>
        <v>3.1273301248220697E-2</v>
      </c>
      <c r="T84" s="2">
        <f ca="1">IFERROR(IF(Inputs!$E$14 = "Semi-annual",(T83/OFFSET(T83,0,-2,,))-1,(T83/OFFSET(T83,0,-4,,))-1),"")</f>
        <v>2.5860286607030103E-2</v>
      </c>
      <c r="U84" s="2">
        <f ca="1">IFERROR(IF(Inputs!$E$14 = "Semi-annual",(U83/OFFSET(U83,0,-2,,))-1,(U83/OFFSET(U83,0,-4,,))-1),"")</f>
        <v>-8.2667712181868636E-3</v>
      </c>
      <c r="V84" s="2">
        <f ca="1">IFERROR(IF(Inputs!$E$14 = "Semi-annual",(V83/OFFSET(V83,0,-2,,))-1,(V83/OFFSET(V83,0,-4,,))-1),"")</f>
        <v>6.2805848072649217E-2</v>
      </c>
      <c r="W84" s="2">
        <f ca="1">IFERROR(IF(Inputs!$E$14 = "Semi-annual",(W83/OFFSET(W83,0,-2,,))-1,(W83/OFFSET(W83,0,-4,,))-1),"")</f>
        <v>4.040411255110735</v>
      </c>
      <c r="X84" s="2">
        <f ca="1">IFERROR(IF(Inputs!$E$14 = "Semi-annual",(X83/OFFSET(X83,0,-2,,))-1,(X83/OFFSET(X83,0,-4,,))-1),"")</f>
        <v>0.83009770563384588</v>
      </c>
      <c r="Y84" s="2">
        <f ca="1">IFERROR(IF(Inputs!$E$14 = "Semi-annual",(Y83/OFFSET(Y83,0,-2,,))-1,(Y83/OFFSET(Y83,0,-4,,))-1),"")</f>
        <v>0.92458737864077678</v>
      </c>
      <c r="Z84" s="2">
        <f ca="1">IFERROR(IF(Inputs!$E$14 = "Semi-annual",(Z83/OFFSET(Z83,0,-2,,))-1,(Z83/OFFSET(Z83,0,-4,,))-1),"")</f>
        <v>1.3622926716773245</v>
      </c>
      <c r="AA84" s="2">
        <f ca="1">IFERROR(IF(Inputs!$E$14 = "Semi-annual",(AA83/OFFSET(AA83,0,-2,,))-1,(AA83/OFFSET(AA83,0,-4,,))-1),"")</f>
        <v>-0.37282858769931659</v>
      </c>
      <c r="AB84" s="2">
        <f ca="1">IFERROR(IF(Inputs!$E$14 = "Semi-annual",(AB83/OFFSET(AB83,0,-2,,))-1,(AB83/OFFSET(AB83,0,-4,,))-1),"")</f>
        <v>-0.13962539362058135</v>
      </c>
    </row>
    <row r="85" spans="1:28" x14ac:dyDescent="0.3">
      <c r="A85" s="85" t="s">
        <v>467</v>
      </c>
      <c r="B85" s="5">
        <f t="shared" ref="B85:D85" si="155">IFERROR((B13-B30+B16)*100/B52,"N/A")</f>
        <v>13.400599945459504</v>
      </c>
      <c r="C85" s="5">
        <f t="shared" si="155"/>
        <v>12.24915557321677</v>
      </c>
      <c r="D85" s="5">
        <f t="shared" si="155"/>
        <v>10.669216061185468</v>
      </c>
      <c r="E85" s="5">
        <f t="shared" ref="E85:R85" si="156">IFERROR((E13-E30+E16)*100/E52,"N/A")</f>
        <v>13.069055063861359</v>
      </c>
      <c r="F85" s="5">
        <f t="shared" si="156"/>
        <v>13.830484545958756</v>
      </c>
      <c r="G85" s="5">
        <f t="shared" si="156"/>
        <v>11.877909058360187</v>
      </c>
      <c r="H85" s="5">
        <f t="shared" si="156"/>
        <v>10.004216740459624</v>
      </c>
      <c r="I85" s="5">
        <f t="shared" si="156"/>
        <v>12.303653071386538</v>
      </c>
      <c r="J85" s="5">
        <f t="shared" si="156"/>
        <v>13.134445706298594</v>
      </c>
      <c r="K85" s="5">
        <f t="shared" si="156"/>
        <v>11.547107307646804</v>
      </c>
      <c r="L85" s="5">
        <f t="shared" si="156"/>
        <v>9.3623188405797109</v>
      </c>
      <c r="M85" s="5">
        <f t="shared" si="156"/>
        <v>12.202885370592369</v>
      </c>
      <c r="N85" s="5">
        <f t="shared" si="156"/>
        <v>13.112380339473896</v>
      </c>
      <c r="O85" s="5">
        <f t="shared" si="156"/>
        <v>11.525908540833914</v>
      </c>
      <c r="P85" s="5">
        <f t="shared" si="156"/>
        <v>9.668950116184325</v>
      </c>
      <c r="Q85" s="5">
        <f t="shared" si="156"/>
        <v>12.950230486756778</v>
      </c>
      <c r="R85" s="5">
        <f t="shared" si="156"/>
        <v>13.241851168511685</v>
      </c>
      <c r="S85" s="5">
        <f t="shared" ref="S85:T85" si="157">IFERROR((S13-S30+S16)*100/S52,"N/A")</f>
        <v>11.981368685059119</v>
      </c>
      <c r="T85" s="5">
        <f t="shared" si="157"/>
        <v>10.795822164710232</v>
      </c>
      <c r="U85" s="5">
        <f t="shared" ref="U85:Y85" si="158">IFERROR((U13-U30+U16)*100/U52,"N/A")</f>
        <v>12.583708524081571</v>
      </c>
      <c r="V85" s="5">
        <f t="shared" si="158"/>
        <v>14.116796393177662</v>
      </c>
      <c r="W85" s="5">
        <f t="shared" si="158"/>
        <v>72.759696834596525</v>
      </c>
      <c r="X85" s="5">
        <f t="shared" si="158"/>
        <v>22.978651874264582</v>
      </c>
      <c r="Y85" s="5">
        <f t="shared" si="158"/>
        <v>27.633333333333333</v>
      </c>
      <c r="Z85" s="5">
        <f t="shared" ref="Z85:AA85" si="159">IFERROR((Z13-Z30+Z16)*100/Z52,"N/A")</f>
        <v>36.998337687010213</v>
      </c>
      <c r="AA85" s="5">
        <f t="shared" si="159"/>
        <v>43.125</v>
      </c>
      <c r="AB85" s="5">
        <f t="shared" ref="AB85" si="160">IFERROR((AB13-AB30+AB16)*100/AB52,"N/A")</f>
        <v>18.055055775458797</v>
      </c>
    </row>
    <row r="86" spans="1:28" x14ac:dyDescent="0.3">
      <c r="A86" s="85" t="s">
        <v>0</v>
      </c>
      <c r="B86" s="40"/>
      <c r="C86" s="2" t="str">
        <f ca="1">IFERROR(IF(Inputs!$E$14 = "Semi-annual",(C85/OFFSET(C85,0,-2,,))-1,(C85/OFFSET(C85,0,-4,,))-1),"")</f>
        <v/>
      </c>
      <c r="D86" s="2" t="str">
        <f ca="1">IFERROR(IF(Inputs!$E$14 = "Semi-annual",(D85/OFFSET(D85,0,-2,,))-1,(D85/OFFSET(D85,0,-4,,))-1),"")</f>
        <v/>
      </c>
      <c r="E86" s="2" t="str">
        <f ca="1">IFERROR(IF(Inputs!$E$14 = "Semi-annual",(E85/OFFSET(E85,0,-2,,))-1,(E85/OFFSET(E85,0,-4,,))-1),"")</f>
        <v/>
      </c>
      <c r="F86" s="2">
        <f ca="1">IFERROR(IF(Inputs!$E$14 = "Semi-annual",(F85/OFFSET(F85,0,-2,,))-1,(F85/OFFSET(F85,0,-4,,))-1),"")</f>
        <v>3.2079504070629872E-2</v>
      </c>
      <c r="G86" s="2">
        <f ca="1">IFERROR(IF(Inputs!$E$14 = "Semi-annual",(G85/OFFSET(G85,0,-2,,))-1,(G85/OFFSET(G85,0,-4,,))-1),"")</f>
        <v>-3.0307927157715908E-2</v>
      </c>
      <c r="H86" s="2">
        <f ca="1">IFERROR(IF(Inputs!$E$14 = "Semi-annual",(H85/OFFSET(H85,0,-2,,))-1,(H85/OFFSET(H85,0,-4,,))-1),"")</f>
        <v>-6.2328789379859528E-2</v>
      </c>
      <c r="I86" s="2">
        <f ca="1">IFERROR(IF(Inputs!$E$14 = "Semi-annual",(I85/OFFSET(I85,0,-2,,))-1,(I85/OFFSET(I85,0,-4,,))-1),"")</f>
        <v>-5.8565978085999171E-2</v>
      </c>
      <c r="J86" s="2">
        <f ca="1">IFERROR(IF(Inputs!$E$14 = "Semi-annual",(J85/OFFSET(J85,0,-2,,))-1,(J85/OFFSET(J85,0,-4,,))-1),"")</f>
        <v>-5.0326424742909159E-2</v>
      </c>
      <c r="K86" s="2">
        <f ca="1">IFERROR(IF(Inputs!$E$14 = "Semi-annual",(K85/OFFSET(K85,0,-2,,))-1,(K85/OFFSET(K85,0,-4,,))-1),"")</f>
        <v>-2.7850166985455171E-2</v>
      </c>
      <c r="L86" s="2">
        <f ca="1">IFERROR(IF(Inputs!$E$14 = "Semi-annual",(L85/OFFSET(L85,0,-2,,))-1,(L85/OFFSET(L85,0,-4,,))-1),"")</f>
        <v>-6.4162734228249252E-2</v>
      </c>
      <c r="M86" s="2">
        <f ca="1">IFERROR(IF(Inputs!$E$14 = "Semi-annual",(M85/OFFSET(M85,0,-2,,))-1,(M85/OFFSET(M85,0,-4,,))-1),"")</f>
        <v>-8.1900635696982027E-3</v>
      </c>
      <c r="N86" s="2">
        <f ca="1">IFERROR(IF(Inputs!$E$14 = "Semi-annual",(N85/OFFSET(N85,0,-2,,))-1,(N85/OFFSET(N85,0,-4,,))-1),"")</f>
        <v>-1.6799617827889524E-3</v>
      </c>
      <c r="O86" s="2">
        <f ca="1">IFERROR(IF(Inputs!$E$14 = "Semi-annual",(O85/OFFSET(O85,0,-2,,))-1,(O85/OFFSET(O85,0,-4,,))-1),"")</f>
        <v>-1.835850854079446E-3</v>
      </c>
      <c r="P86" s="2">
        <f ca="1">IFERROR(IF(Inputs!$E$14 = "Semi-annual",(P85/OFFSET(P85,0,-2,,))-1,(P85/OFFSET(P85,0,-4,,))-1),"")</f>
        <v>3.2751637796777588E-2</v>
      </c>
      <c r="Q86" s="2">
        <f ca="1">IFERROR(IF(Inputs!$E$14 = "Semi-annual",(Q85/OFFSET(Q85,0,-2,,))-1,(Q85/OFFSET(Q85,0,-4,,))-1),"")</f>
        <v>6.124331200925881E-2</v>
      </c>
      <c r="R86" s="2">
        <f ca="1">IFERROR(IF(Inputs!$E$14 = "Semi-annual",(R85/OFFSET(R85,0,-2,,))-1,(R85/OFFSET(R85,0,-4,,))-1),"")</f>
        <v>9.8739378881518292E-3</v>
      </c>
      <c r="S86" s="2">
        <f ca="1">IFERROR(IF(Inputs!$E$14 = "Semi-annual",(S85/OFFSET(S85,0,-2,,))-1,(S85/OFFSET(S85,0,-4,,))-1),"")</f>
        <v>3.9516203222644375E-2</v>
      </c>
      <c r="T86" s="2">
        <f ca="1">IFERROR(IF(Inputs!$E$14 = "Semi-annual",(T85/OFFSET(T85,0,-2,,))-1,(T85/OFFSET(T85,0,-4,,))-1),"")</f>
        <v>0.11654544029963487</v>
      </c>
      <c r="U86" s="2">
        <f ca="1">IFERROR(IF(Inputs!$E$14 = "Semi-annual",(U85/OFFSET(U85,0,-2,,))-1,(U85/OFFSET(U85,0,-4,,))-1),"")</f>
        <v>-2.8302350529592624E-2</v>
      </c>
      <c r="V86" s="2">
        <f ca="1">IFERROR(IF(Inputs!$E$14 = "Semi-annual",(V85/OFFSET(V85,0,-2,,))-1,(V85/OFFSET(V85,0,-4,,))-1),"")</f>
        <v>6.6074237924267143E-2</v>
      </c>
      <c r="W86" s="2">
        <f ca="1">IFERROR(IF(Inputs!$E$14 = "Semi-annual",(W85/OFFSET(W85,0,-2,,))-1,(W85/OFFSET(W85,0,-4,,))-1),"")</f>
        <v>5.0727366586530769</v>
      </c>
      <c r="X86" s="2">
        <f ca="1">IFERROR(IF(Inputs!$E$14 = "Semi-annual",(X85/OFFSET(X85,0,-2,,))-1,(X85/OFFSET(X85,0,-4,,))-1),"")</f>
        <v>1.1284763238670248</v>
      </c>
      <c r="Y86" s="2">
        <f ca="1">IFERROR(IF(Inputs!$E$14 = "Semi-annual",(Y85/OFFSET(Y85,0,-2,,))-1,(Y85/OFFSET(Y85,0,-4,,))-1),"")</f>
        <v>1.1959610142313091</v>
      </c>
      <c r="Z86" s="2">
        <f ca="1">IFERROR(IF(Inputs!$E$14 = "Semi-annual",(Z85/OFFSET(Z85,0,-2,,))-1,(Z85/OFFSET(Z85,0,-4,,))-1),"")</f>
        <v>1.6208735081629921</v>
      </c>
      <c r="AA86" s="2">
        <f ca="1">IFERROR(IF(Inputs!$E$14 = "Semi-annual",(AA85/OFFSET(AA85,0,-2,,))-1,(AA85/OFFSET(AA85,0,-4,,))-1),"")</f>
        <v>-0.40729549632352946</v>
      </c>
      <c r="AB86" s="2">
        <f ca="1">IFERROR(IF(Inputs!$E$14 = "Semi-annual",(AB85/OFFSET(AB85,0,-2,,))-1,(AB85/OFFSET(AB85,0,-4,,))-1),"")</f>
        <v>-0.21426827499484724</v>
      </c>
    </row>
    <row r="87" spans="1:28" x14ac:dyDescent="0.3">
      <c r="A87" s="85" t="s">
        <v>468</v>
      </c>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x14ac:dyDescent="0.3">
      <c r="A88" s="85" t="s">
        <v>49</v>
      </c>
      <c r="B88" s="2">
        <f>IFERROR(B83/B63,"N/A")</f>
        <v>0.76452233881533305</v>
      </c>
      <c r="C88" s="2">
        <f t="shared" ref="C88:D88" si="161">IFERROR(C83/C63,"N/A")</f>
        <v>0.76320144690036962</v>
      </c>
      <c r="D88" s="2">
        <f t="shared" si="161"/>
        <v>0.69329521810034189</v>
      </c>
      <c r="E88" s="2">
        <f t="shared" ref="E88:R88" si="162">IFERROR(E83/E63,"N/A")</f>
        <v>0.76274166797382559</v>
      </c>
      <c r="F88" s="2">
        <f t="shared" si="162"/>
        <v>0.77399785064396298</v>
      </c>
      <c r="G88" s="2">
        <f t="shared" si="162"/>
        <v>0.75826363086100768</v>
      </c>
      <c r="H88" s="2">
        <f t="shared" si="162"/>
        <v>0.68278511207354353</v>
      </c>
      <c r="I88" s="2">
        <f t="shared" si="162"/>
        <v>0.77323411092868355</v>
      </c>
      <c r="J88" s="2">
        <f t="shared" si="162"/>
        <v>0.80640618773233097</v>
      </c>
      <c r="K88" s="2">
        <f t="shared" si="162"/>
        <v>0.76601992599389168</v>
      </c>
      <c r="L88" s="2">
        <f t="shared" si="162"/>
        <v>0.67226482933396692</v>
      </c>
      <c r="M88" s="2">
        <f t="shared" si="162"/>
        <v>0.7738702096167045</v>
      </c>
      <c r="N88" s="2">
        <f t="shared" si="162"/>
        <v>0.82496550203006125</v>
      </c>
      <c r="O88" s="2">
        <f t="shared" si="162"/>
        <v>0.78742953090118717</v>
      </c>
      <c r="P88" s="2">
        <f t="shared" si="162"/>
        <v>0.72575600480737357</v>
      </c>
      <c r="Q88" s="2">
        <f t="shared" si="162"/>
        <v>0.78925409894798293</v>
      </c>
      <c r="R88" s="2">
        <f t="shared" si="162"/>
        <v>0.79511537269538435</v>
      </c>
      <c r="S88" s="2">
        <f t="shared" ref="S88:T88" si="163">IFERROR(S83/S63,"N/A")</f>
        <v>0.76608975499870557</v>
      </c>
      <c r="T88" s="2">
        <f t="shared" si="163"/>
        <v>0.71298832031548631</v>
      </c>
      <c r="U88" s="2">
        <f t="shared" ref="U88:Y88" si="164">IFERROR(U83/U63,"N/A")</f>
        <v>0.78288776963391993</v>
      </c>
      <c r="V88" s="2">
        <f t="shared" si="164"/>
        <v>0.83125695036914482</v>
      </c>
      <c r="W88" s="2">
        <f t="shared" si="164"/>
        <v>1.1631785500071485</v>
      </c>
      <c r="X88" s="2">
        <f t="shared" si="164"/>
        <v>0.86184217100306371</v>
      </c>
      <c r="Y88" s="2">
        <f t="shared" si="164"/>
        <v>0.90428053204353087</v>
      </c>
      <c r="Z88" s="2">
        <f t="shared" ref="Z88:AA88" si="165">IFERROR(Z83/Z63,"N/A")</f>
        <v>1.0485627980020971</v>
      </c>
      <c r="AA88" s="2">
        <f t="shared" si="165"/>
        <v>0.98962604540023891</v>
      </c>
      <c r="AB88" s="2">
        <f t="shared" ref="AB88" si="166">IFERROR(AB83/AB63,"N/A")</f>
        <v>0.83934331376362736</v>
      </c>
    </row>
    <row r="89" spans="1:28" x14ac:dyDescent="0.3">
      <c r="A89" s="8" t="s">
        <v>9</v>
      </c>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3">
      <c r="A90" s="85" t="s">
        <v>50</v>
      </c>
      <c r="B90" s="21">
        <f t="shared" ref="B90" si="167">B38</f>
        <v>-81</v>
      </c>
      <c r="C90" s="21">
        <f t="shared" ref="C90:R90" si="168">C38</f>
        <v>-73</v>
      </c>
      <c r="D90" s="21">
        <f t="shared" si="168"/>
        <v>-86</v>
      </c>
      <c r="E90" s="21">
        <f t="shared" si="168"/>
        <v>-79</v>
      </c>
      <c r="F90" s="21">
        <f t="shared" si="168"/>
        <v>-73</v>
      </c>
      <c r="G90" s="21">
        <f t="shared" si="168"/>
        <v>-84</v>
      </c>
      <c r="H90" s="21">
        <f t="shared" si="168"/>
        <v>-85</v>
      </c>
      <c r="I90" s="21">
        <f t="shared" si="168"/>
        <v>-74</v>
      </c>
      <c r="J90" s="21">
        <f t="shared" si="168"/>
        <v>-70</v>
      </c>
      <c r="K90" s="21">
        <f t="shared" si="168"/>
        <v>-71</v>
      </c>
      <c r="L90" s="21">
        <f t="shared" si="168"/>
        <v>-64</v>
      </c>
      <c r="M90" s="21">
        <f t="shared" si="168"/>
        <v>-70</v>
      </c>
      <c r="N90" s="21">
        <f t="shared" si="168"/>
        <v>-70</v>
      </c>
      <c r="O90" s="21">
        <f t="shared" si="168"/>
        <v>-77</v>
      </c>
      <c r="P90" s="21">
        <f t="shared" si="168"/>
        <v>-73</v>
      </c>
      <c r="Q90" s="21">
        <f t="shared" si="168"/>
        <v>-76</v>
      </c>
      <c r="R90" s="21">
        <f t="shared" si="168"/>
        <v>-125</v>
      </c>
      <c r="S90" s="21">
        <f t="shared" ref="S90:T90" si="169">S38</f>
        <v>-122</v>
      </c>
      <c r="T90" s="21">
        <f t="shared" si="169"/>
        <v>-120</v>
      </c>
      <c r="U90" s="21">
        <f t="shared" ref="U90:Y90" si="170">U38</f>
        <v>-113</v>
      </c>
      <c r="V90" s="21">
        <f t="shared" si="170"/>
        <v>-121</v>
      </c>
      <c r="W90" s="21">
        <f t="shared" si="170"/>
        <v>-143</v>
      </c>
      <c r="X90" s="21">
        <f t="shared" si="170"/>
        <v>-196</v>
      </c>
      <c r="Y90" s="21">
        <f t="shared" si="170"/>
        <v>-196</v>
      </c>
      <c r="Z90" s="21">
        <f t="shared" ref="Z90:AA90" si="171">Z38</f>
        <v>-173</v>
      </c>
      <c r="AA90" s="21">
        <f t="shared" si="171"/>
        <v>-159</v>
      </c>
      <c r="AB90" s="21">
        <f t="shared" ref="AB90" si="172">AB38</f>
        <v>-193</v>
      </c>
    </row>
    <row r="91" spans="1:28" x14ac:dyDescent="0.3">
      <c r="A91" s="85" t="s">
        <v>51</v>
      </c>
      <c r="B91" s="45">
        <f t="shared" ref="B91" si="173">B39</f>
        <v>9</v>
      </c>
      <c r="C91" s="45">
        <f t="shared" ref="C91:R91" si="174">C39</f>
        <v>12</v>
      </c>
      <c r="D91" s="45">
        <f t="shared" si="174"/>
        <v>12</v>
      </c>
      <c r="E91" s="45">
        <f t="shared" si="174"/>
        <v>13</v>
      </c>
      <c r="F91" s="45">
        <f t="shared" si="174"/>
        <v>10</v>
      </c>
      <c r="G91" s="45">
        <f t="shared" si="174"/>
        <v>13</v>
      </c>
      <c r="H91" s="45">
        <f t="shared" si="174"/>
        <v>12</v>
      </c>
      <c r="I91" s="45">
        <f t="shared" si="174"/>
        <v>13</v>
      </c>
      <c r="J91" s="45">
        <f t="shared" si="174"/>
        <v>12</v>
      </c>
      <c r="K91" s="45">
        <f t="shared" si="174"/>
        <v>14</v>
      </c>
      <c r="L91" s="45">
        <f t="shared" si="174"/>
        <v>16</v>
      </c>
      <c r="M91" s="45">
        <f t="shared" si="174"/>
        <v>18</v>
      </c>
      <c r="N91" s="45">
        <f t="shared" si="174"/>
        <v>20</v>
      </c>
      <c r="O91" s="45">
        <f t="shared" si="174"/>
        <v>24</v>
      </c>
      <c r="P91" s="45">
        <f t="shared" si="174"/>
        <v>32</v>
      </c>
      <c r="Q91" s="45">
        <f t="shared" si="174"/>
        <v>32</v>
      </c>
      <c r="R91" s="45">
        <f t="shared" si="174"/>
        <v>38</v>
      </c>
      <c r="S91" s="45">
        <f t="shared" ref="S91:T91" si="175">S39</f>
        <v>41</v>
      </c>
      <c r="T91" s="45">
        <f t="shared" si="175"/>
        <v>44</v>
      </c>
      <c r="U91" s="45">
        <f t="shared" ref="U91:Y91" si="176">U39</f>
        <v>41</v>
      </c>
      <c r="V91" s="45">
        <f t="shared" si="176"/>
        <v>42</v>
      </c>
      <c r="W91" s="45">
        <f t="shared" si="176"/>
        <v>32</v>
      </c>
      <c r="X91" s="45">
        <f t="shared" si="176"/>
        <v>32</v>
      </c>
      <c r="Y91" s="45">
        <f t="shared" si="176"/>
        <v>26</v>
      </c>
      <c r="Z91" s="45">
        <f t="shared" ref="Z91:AA91" si="177">Z39</f>
        <v>21</v>
      </c>
      <c r="AA91" s="45">
        <f t="shared" si="177"/>
        <v>16</v>
      </c>
      <c r="AB91" s="45">
        <f t="shared" ref="AB91" si="178">AB39</f>
        <v>17</v>
      </c>
    </row>
    <row r="92" spans="1:28" s="44" customFormat="1" x14ac:dyDescent="0.3">
      <c r="A92" s="42" t="s">
        <v>52</v>
      </c>
      <c r="B92" s="43">
        <f t="shared" ref="B92" si="179">B90+B91</f>
        <v>-72</v>
      </c>
      <c r="C92" s="43">
        <f t="shared" ref="C92:R92" si="180">C90+C91</f>
        <v>-61</v>
      </c>
      <c r="D92" s="43">
        <f t="shared" si="180"/>
        <v>-74</v>
      </c>
      <c r="E92" s="43">
        <f t="shared" si="180"/>
        <v>-66</v>
      </c>
      <c r="F92" s="43">
        <f t="shared" si="180"/>
        <v>-63</v>
      </c>
      <c r="G92" s="43">
        <f t="shared" si="180"/>
        <v>-71</v>
      </c>
      <c r="H92" s="43">
        <f t="shared" si="180"/>
        <v>-73</v>
      </c>
      <c r="I92" s="43">
        <f t="shared" si="180"/>
        <v>-61</v>
      </c>
      <c r="J92" s="43">
        <f t="shared" si="180"/>
        <v>-58</v>
      </c>
      <c r="K92" s="43">
        <f t="shared" si="180"/>
        <v>-57</v>
      </c>
      <c r="L92" s="43">
        <f t="shared" si="180"/>
        <v>-48</v>
      </c>
      <c r="M92" s="43">
        <f t="shared" si="180"/>
        <v>-52</v>
      </c>
      <c r="N92" s="43">
        <f t="shared" si="180"/>
        <v>-50</v>
      </c>
      <c r="O92" s="43">
        <f t="shared" si="180"/>
        <v>-53</v>
      </c>
      <c r="P92" s="43">
        <f t="shared" si="180"/>
        <v>-41</v>
      </c>
      <c r="Q92" s="43">
        <f t="shared" si="180"/>
        <v>-44</v>
      </c>
      <c r="R92" s="43">
        <f t="shared" si="180"/>
        <v>-87</v>
      </c>
      <c r="S92" s="43">
        <f t="shared" ref="S92:T92" si="181">S90+S91</f>
        <v>-81</v>
      </c>
      <c r="T92" s="43">
        <f t="shared" si="181"/>
        <v>-76</v>
      </c>
      <c r="U92" s="43">
        <f t="shared" ref="U92:Y92" si="182">U90+U91</f>
        <v>-72</v>
      </c>
      <c r="V92" s="43">
        <f t="shared" si="182"/>
        <v>-79</v>
      </c>
      <c r="W92" s="43">
        <f t="shared" si="182"/>
        <v>-111</v>
      </c>
      <c r="X92" s="43">
        <f t="shared" si="182"/>
        <v>-164</v>
      </c>
      <c r="Y92" s="43">
        <f t="shared" si="182"/>
        <v>-170</v>
      </c>
      <c r="Z92" s="43">
        <f t="shared" ref="Z92:AA92" si="183">Z90+Z91</f>
        <v>-152</v>
      </c>
      <c r="AA92" s="43">
        <f t="shared" si="183"/>
        <v>-143</v>
      </c>
      <c r="AB92" s="43">
        <f t="shared" ref="AB92" si="184">AB90+AB91</f>
        <v>-176</v>
      </c>
    </row>
    <row r="93" spans="1:28" x14ac:dyDescent="0.3">
      <c r="A93" s="85" t="s">
        <v>53</v>
      </c>
      <c r="B93" s="21">
        <f t="shared" ref="B93" si="185">B27</f>
        <v>-82</v>
      </c>
      <c r="C93" s="21">
        <f t="shared" ref="C93:R93" si="186">C27</f>
        <v>-84</v>
      </c>
      <c r="D93" s="21">
        <f t="shared" si="186"/>
        <v>-89</v>
      </c>
      <c r="E93" s="21">
        <f t="shared" si="186"/>
        <v>-98</v>
      </c>
      <c r="F93" s="21">
        <f t="shared" si="186"/>
        <v>-112</v>
      </c>
      <c r="G93" s="21">
        <f t="shared" si="186"/>
        <v>-112</v>
      </c>
      <c r="H93" s="21">
        <f t="shared" si="186"/>
        <v>-118</v>
      </c>
      <c r="I93" s="21">
        <f t="shared" si="186"/>
        <v>-120</v>
      </c>
      <c r="J93" s="21">
        <f t="shared" si="186"/>
        <v>-122</v>
      </c>
      <c r="K93" s="21">
        <f t="shared" si="186"/>
        <v>-130</v>
      </c>
      <c r="L93" s="21">
        <f t="shared" si="186"/>
        <v>-125</v>
      </c>
      <c r="M93" s="21">
        <f t="shared" si="186"/>
        <v>-126</v>
      </c>
      <c r="N93" s="21">
        <f t="shared" si="186"/>
        <v>-125</v>
      </c>
      <c r="O93" s="21">
        <f t="shared" si="186"/>
        <v>-123</v>
      </c>
      <c r="P93" s="21">
        <f t="shared" si="186"/>
        <v>-137</v>
      </c>
      <c r="Q93" s="21">
        <f t="shared" si="186"/>
        <v>-133</v>
      </c>
      <c r="R93" s="21">
        <f t="shared" si="186"/>
        <v>0</v>
      </c>
      <c r="S93" s="21">
        <f t="shared" ref="S93:T93" si="187">S27</f>
        <v>0</v>
      </c>
      <c r="T93" s="21">
        <f t="shared" si="187"/>
        <v>0</v>
      </c>
      <c r="U93" s="21">
        <f t="shared" ref="U93:Y93" si="188">U27</f>
        <v>0</v>
      </c>
      <c r="V93" s="21">
        <f t="shared" si="188"/>
        <v>0</v>
      </c>
      <c r="W93" s="21">
        <f t="shared" si="188"/>
        <v>0</v>
      </c>
      <c r="X93" s="21">
        <f t="shared" si="188"/>
        <v>0</v>
      </c>
      <c r="Y93" s="21">
        <f t="shared" si="188"/>
        <v>0</v>
      </c>
      <c r="Z93" s="21">
        <f t="shared" ref="Z93:AA93" si="189">Z27</f>
        <v>0</v>
      </c>
      <c r="AA93" s="21">
        <f t="shared" si="189"/>
        <v>0</v>
      </c>
      <c r="AB93" s="21">
        <f t="shared" ref="AB93" si="190">AB27</f>
        <v>0</v>
      </c>
    </row>
    <row r="94" spans="1:28" x14ac:dyDescent="0.3">
      <c r="A94" s="85" t="s">
        <v>54</v>
      </c>
      <c r="B94" s="21">
        <f t="shared" ref="B94" si="191">B21</f>
        <v>0</v>
      </c>
      <c r="C94" s="21">
        <f t="shared" ref="C94:R94" si="192">C21</f>
        <v>0</v>
      </c>
      <c r="D94" s="21">
        <f t="shared" si="192"/>
        <v>0</v>
      </c>
      <c r="E94" s="21">
        <f t="shared" si="192"/>
        <v>0</v>
      </c>
      <c r="F94" s="21">
        <f t="shared" si="192"/>
        <v>0</v>
      </c>
      <c r="G94" s="21">
        <f t="shared" si="192"/>
        <v>0</v>
      </c>
      <c r="H94" s="21">
        <f t="shared" si="192"/>
        <v>0</v>
      </c>
      <c r="I94" s="21">
        <f t="shared" si="192"/>
        <v>0</v>
      </c>
      <c r="J94" s="21">
        <f t="shared" si="192"/>
        <v>0</v>
      </c>
      <c r="K94" s="21">
        <f t="shared" si="192"/>
        <v>0</v>
      </c>
      <c r="L94" s="21">
        <f t="shared" si="192"/>
        <v>0</v>
      </c>
      <c r="M94" s="21">
        <f t="shared" si="192"/>
        <v>0</v>
      </c>
      <c r="N94" s="21">
        <f t="shared" si="192"/>
        <v>0</v>
      </c>
      <c r="O94" s="21">
        <f t="shared" si="192"/>
        <v>0</v>
      </c>
      <c r="P94" s="21">
        <f t="shared" si="192"/>
        <v>0</v>
      </c>
      <c r="Q94" s="21">
        <f t="shared" si="192"/>
        <v>0</v>
      </c>
      <c r="R94" s="21">
        <f t="shared" si="192"/>
        <v>0</v>
      </c>
      <c r="S94" s="21">
        <f t="shared" ref="S94:T94" si="193">S21</f>
        <v>0</v>
      </c>
      <c r="T94" s="21">
        <f t="shared" si="193"/>
        <v>0</v>
      </c>
      <c r="U94" s="21">
        <f t="shared" ref="U94:Y94" si="194">U21</f>
        <v>0</v>
      </c>
      <c r="V94" s="21">
        <f t="shared" si="194"/>
        <v>0</v>
      </c>
      <c r="W94" s="21">
        <f t="shared" si="194"/>
        <v>0</v>
      </c>
      <c r="X94" s="21">
        <f t="shared" si="194"/>
        <v>0</v>
      </c>
      <c r="Y94" s="21">
        <f t="shared" si="194"/>
        <v>0</v>
      </c>
      <c r="Z94" s="21">
        <f t="shared" ref="Z94:AA94" si="195">Z21</f>
        <v>0</v>
      </c>
      <c r="AA94" s="21">
        <f t="shared" si="195"/>
        <v>0</v>
      </c>
      <c r="AB94" s="21">
        <f t="shared" ref="AB94" si="196">AB21</f>
        <v>0</v>
      </c>
    </row>
    <row r="95" spans="1:28" x14ac:dyDescent="0.3">
      <c r="A95" s="14" t="s">
        <v>55</v>
      </c>
      <c r="B95" s="43">
        <f t="shared" ref="B95" si="197">SUM(B92:B94)</f>
        <v>-154</v>
      </c>
      <c r="C95" s="43">
        <f t="shared" ref="C95:R95" si="198">SUM(C92:C94)</f>
        <v>-145</v>
      </c>
      <c r="D95" s="43">
        <f t="shared" si="198"/>
        <v>-163</v>
      </c>
      <c r="E95" s="43">
        <f t="shared" si="198"/>
        <v>-164</v>
      </c>
      <c r="F95" s="43">
        <f t="shared" si="198"/>
        <v>-175</v>
      </c>
      <c r="G95" s="43">
        <f t="shared" si="198"/>
        <v>-183</v>
      </c>
      <c r="H95" s="43">
        <f t="shared" si="198"/>
        <v>-191</v>
      </c>
      <c r="I95" s="43">
        <f t="shared" si="198"/>
        <v>-181</v>
      </c>
      <c r="J95" s="43">
        <f t="shared" si="198"/>
        <v>-180</v>
      </c>
      <c r="K95" s="43">
        <f t="shared" si="198"/>
        <v>-187</v>
      </c>
      <c r="L95" s="43">
        <f t="shared" si="198"/>
        <v>-173</v>
      </c>
      <c r="M95" s="43">
        <f t="shared" si="198"/>
        <v>-178</v>
      </c>
      <c r="N95" s="43">
        <f t="shared" si="198"/>
        <v>-175</v>
      </c>
      <c r="O95" s="43">
        <f t="shared" si="198"/>
        <v>-176</v>
      </c>
      <c r="P95" s="43">
        <f t="shared" si="198"/>
        <v>-178</v>
      </c>
      <c r="Q95" s="43">
        <f t="shared" si="198"/>
        <v>-177</v>
      </c>
      <c r="R95" s="43">
        <f t="shared" si="198"/>
        <v>-87</v>
      </c>
      <c r="S95" s="43">
        <f t="shared" ref="S95:T95" si="199">SUM(S92:S94)</f>
        <v>-81</v>
      </c>
      <c r="T95" s="43">
        <f t="shared" si="199"/>
        <v>-76</v>
      </c>
      <c r="U95" s="43">
        <f t="shared" ref="U95:Y95" si="200">SUM(U92:U94)</f>
        <v>-72</v>
      </c>
      <c r="V95" s="43">
        <f t="shared" si="200"/>
        <v>-79</v>
      </c>
      <c r="W95" s="43">
        <f t="shared" si="200"/>
        <v>-111</v>
      </c>
      <c r="X95" s="43">
        <f t="shared" si="200"/>
        <v>-164</v>
      </c>
      <c r="Y95" s="43">
        <f t="shared" si="200"/>
        <v>-170</v>
      </c>
      <c r="Z95" s="43">
        <f t="shared" ref="Z95:AA95" si="201">SUM(Z92:Z94)</f>
        <v>-152</v>
      </c>
      <c r="AA95" s="43">
        <f t="shared" si="201"/>
        <v>-143</v>
      </c>
      <c r="AB95" s="43">
        <f t="shared" ref="AB95" si="202">SUM(AB92:AB94)</f>
        <v>-176</v>
      </c>
    </row>
    <row r="96" spans="1:28" x14ac:dyDescent="0.3">
      <c r="A96" s="8" t="s">
        <v>7</v>
      </c>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x14ac:dyDescent="0.3">
      <c r="A97" s="85" t="s">
        <v>56</v>
      </c>
      <c r="B97" s="47"/>
      <c r="C97" s="47"/>
      <c r="D97" s="47"/>
      <c r="E97" s="46"/>
      <c r="F97" s="46"/>
      <c r="G97" s="46"/>
      <c r="H97" s="46"/>
      <c r="I97" s="46"/>
      <c r="J97" s="46"/>
      <c r="K97" s="46"/>
      <c r="L97" s="46"/>
      <c r="M97" s="46"/>
      <c r="N97" s="46"/>
      <c r="O97" s="46"/>
      <c r="P97" s="46"/>
      <c r="Q97" s="46"/>
      <c r="R97" s="46"/>
      <c r="S97" s="46"/>
      <c r="T97" s="46"/>
      <c r="U97" s="46"/>
      <c r="V97" s="46"/>
      <c r="W97" s="46"/>
      <c r="X97" s="46"/>
      <c r="Y97" s="46"/>
      <c r="Z97" s="46"/>
      <c r="AA97" s="46"/>
      <c r="AB97" s="46"/>
    </row>
    <row r="98" spans="1:28" x14ac:dyDescent="0.3">
      <c r="A98" s="85" t="s">
        <v>57</v>
      </c>
      <c r="B98" s="46">
        <f t="shared" ref="B98:R98" si="203">IFERROR(B26/-B95, "N/A")</f>
        <v>2.8246753246753249</v>
      </c>
      <c r="C98" s="46">
        <f t="shared" si="203"/>
        <v>3.8689655172413793</v>
      </c>
      <c r="D98" s="46">
        <f t="shared" si="203"/>
        <v>6.5582822085889569</v>
      </c>
      <c r="E98" s="46">
        <f t="shared" si="203"/>
        <v>2.725609756097561</v>
      </c>
      <c r="F98" s="46">
        <f t="shared" si="203"/>
        <v>2.56</v>
      </c>
      <c r="G98" s="46">
        <f t="shared" si="203"/>
        <v>3.2295081967213113</v>
      </c>
      <c r="H98" s="46">
        <f t="shared" si="203"/>
        <v>6.4607329842931938</v>
      </c>
      <c r="I98" s="46">
        <f t="shared" si="203"/>
        <v>2.4364640883977899</v>
      </c>
      <c r="J98" s="46">
        <f t="shared" si="203"/>
        <v>1.8111111111111111</v>
      </c>
      <c r="K98" s="46">
        <f t="shared" si="203"/>
        <v>3.4919786096256686</v>
      </c>
      <c r="L98" s="46">
        <f t="shared" si="203"/>
        <v>8.0809248554913289</v>
      </c>
      <c r="M98" s="46">
        <f t="shared" si="203"/>
        <v>2.8314606741573032</v>
      </c>
      <c r="N98" s="46">
        <f t="shared" si="203"/>
        <v>2.16</v>
      </c>
      <c r="O98" s="46">
        <f t="shared" si="203"/>
        <v>3.5625</v>
      </c>
      <c r="P98" s="46">
        <f t="shared" si="203"/>
        <v>6.9943820224719104</v>
      </c>
      <c r="Q98" s="46">
        <f t="shared" si="203"/>
        <v>2.9491525423728815</v>
      </c>
      <c r="R98" s="46">
        <f t="shared" si="203"/>
        <v>6.7011494252873565</v>
      </c>
      <c r="S98" s="46">
        <f t="shared" ref="S98:T98" si="204">IFERROR(S26/-S95, "N/A")</f>
        <v>11.308641975308642</v>
      </c>
      <c r="T98" s="46">
        <f t="shared" si="204"/>
        <v>19.368421052631579</v>
      </c>
      <c r="U98" s="46">
        <f t="shared" ref="U98:Y98" si="205">IFERROR(U26/-U95, "N/A")</f>
        <v>9.2361111111111107</v>
      </c>
      <c r="V98" s="46">
        <f t="shared" si="205"/>
        <v>0.89873417721518989</v>
      </c>
      <c r="W98" s="46">
        <f t="shared" si="205"/>
        <v>-6.6846846846846848</v>
      </c>
      <c r="X98" s="46">
        <f t="shared" si="205"/>
        <v>-2.225609756097561</v>
      </c>
      <c r="Y98" s="46">
        <f t="shared" si="205"/>
        <v>-3.4117647058823528</v>
      </c>
      <c r="Z98" s="46">
        <f t="shared" ref="Z98:AA98" si="206">IFERROR(Z26/-Z95, "N/A")</f>
        <v>-4.0526315789473681</v>
      </c>
      <c r="AA98" s="46">
        <f t="shared" si="206"/>
        <v>-5.0559440559440558</v>
      </c>
      <c r="AB98" s="46">
        <f t="shared" ref="AB98" si="207">IFERROR(AB26/-AB95, "N/A")</f>
        <v>0.13636363636363635</v>
      </c>
    </row>
    <row r="99" spans="1:28" x14ac:dyDescent="0.3">
      <c r="A99" s="85" t="s">
        <v>58</v>
      </c>
      <c r="B99" s="46">
        <f t="shared" ref="B99:R99" si="208">IFERROR(B28/-B92, "N/A")</f>
        <v>4.9027777777777777</v>
      </c>
      <c r="C99" s="46">
        <f t="shared" si="208"/>
        <v>7.8196721311475406</v>
      </c>
      <c r="D99" s="46">
        <f t="shared" si="208"/>
        <v>13.243243243243244</v>
      </c>
      <c r="E99" s="46">
        <f t="shared" si="208"/>
        <v>5.2878787878787881</v>
      </c>
      <c r="F99" s="46">
        <f t="shared" si="208"/>
        <v>5.333333333333333</v>
      </c>
      <c r="G99" s="46">
        <f t="shared" si="208"/>
        <v>6.746478873239437</v>
      </c>
      <c r="H99" s="46">
        <f t="shared" si="208"/>
        <v>15.287671232876713</v>
      </c>
      <c r="I99" s="46">
        <f t="shared" si="208"/>
        <v>5.2622950819672134</v>
      </c>
      <c r="J99" s="46">
        <f t="shared" si="208"/>
        <v>3.5172413793103448</v>
      </c>
      <c r="K99" s="46">
        <f t="shared" si="208"/>
        <v>9.1754385964912277</v>
      </c>
      <c r="L99" s="46">
        <f t="shared" si="208"/>
        <v>26.520833333333332</v>
      </c>
      <c r="M99" s="46">
        <f t="shared" si="208"/>
        <v>7.2692307692307692</v>
      </c>
      <c r="N99" s="46">
        <f t="shared" si="208"/>
        <v>5.0599999999999996</v>
      </c>
      <c r="O99" s="46">
        <f t="shared" si="208"/>
        <v>9.5094339622641506</v>
      </c>
      <c r="P99" s="46">
        <f t="shared" si="208"/>
        <v>27.024390243902438</v>
      </c>
      <c r="Q99" s="46">
        <f t="shared" si="208"/>
        <v>8.8409090909090917</v>
      </c>
      <c r="R99" s="46">
        <f t="shared" si="208"/>
        <v>6.7011494252873565</v>
      </c>
      <c r="S99" s="46">
        <f t="shared" ref="S99:T99" si="209">IFERROR(S28/-S92, "N/A")</f>
        <v>11.308641975308642</v>
      </c>
      <c r="T99" s="46">
        <f t="shared" si="209"/>
        <v>19.368421052631579</v>
      </c>
      <c r="U99" s="46">
        <f t="shared" ref="U99:Y99" si="210">IFERROR(U28/-U92, "N/A")</f>
        <v>9.2361111111111107</v>
      </c>
      <c r="V99" s="46">
        <f t="shared" si="210"/>
        <v>0.89873417721518989</v>
      </c>
      <c r="W99" s="46">
        <f t="shared" si="210"/>
        <v>-6.6846846846846848</v>
      </c>
      <c r="X99" s="46">
        <f t="shared" si="210"/>
        <v>-2.225609756097561</v>
      </c>
      <c r="Y99" s="46">
        <f t="shared" si="210"/>
        <v>-3.4117647058823528</v>
      </c>
      <c r="Z99" s="46">
        <f t="shared" ref="Z99:AA99" si="211">IFERROR(Z28/-Z92, "N/A")</f>
        <v>-4.0526315789473681</v>
      </c>
      <c r="AA99" s="46">
        <f t="shared" si="211"/>
        <v>-5.0559440559440558</v>
      </c>
      <c r="AB99" s="46">
        <f t="shared" ref="AB99" si="212">IFERROR(AB28/-AB92, "N/A")</f>
        <v>0.13636363636363635</v>
      </c>
    </row>
    <row r="100" spans="1:28" x14ac:dyDescent="0.3">
      <c r="A100" s="8" t="s">
        <v>4</v>
      </c>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x14ac:dyDescent="0.3">
      <c r="A101" s="85" t="s">
        <v>59</v>
      </c>
      <c r="B101" s="2">
        <f t="shared" ref="B101:D101" si="213">IFERROR(B30/B13,"N/A")</f>
        <v>6.1557402277623886E-2</v>
      </c>
      <c r="C101" s="2">
        <f t="shared" si="213"/>
        <v>8.7873462214411252E-2</v>
      </c>
      <c r="D101" s="2">
        <f t="shared" si="213"/>
        <v>0.20258513547104151</v>
      </c>
      <c r="E101" s="2">
        <f t="shared" ref="E101:R101" si="214">IFERROR(E30/E13,"N/A")</f>
        <v>5.9396605908233813E-2</v>
      </c>
      <c r="F101" s="2">
        <f t="shared" si="214"/>
        <v>4.6066407418486388E-2</v>
      </c>
      <c r="G101" s="2">
        <f t="shared" si="214"/>
        <v>8.010410641989589E-2</v>
      </c>
      <c r="H101" s="2">
        <f t="shared" si="214"/>
        <v>0.20130307796000899</v>
      </c>
      <c r="I101" s="2">
        <f t="shared" si="214"/>
        <v>3.1824817518248172E-2</v>
      </c>
      <c r="J101" s="2">
        <f t="shared" si="214"/>
        <v>-6.5897858319604614E-3</v>
      </c>
      <c r="K101" s="2">
        <f t="shared" si="214"/>
        <v>7.1867007672634264E-2</v>
      </c>
      <c r="L101" s="2">
        <f t="shared" si="214"/>
        <v>0.21147540983606558</v>
      </c>
      <c r="M101" s="2">
        <f t="shared" si="214"/>
        <v>3.4816753926701569E-2</v>
      </c>
      <c r="N101" s="2">
        <f t="shared" si="214"/>
        <v>-3.4389584868582657E-3</v>
      </c>
      <c r="O101" s="2">
        <f t="shared" si="214"/>
        <v>5.2157858296792058E-2</v>
      </c>
      <c r="P101" s="2">
        <f t="shared" si="214"/>
        <v>0.15512465373961218</v>
      </c>
      <c r="Q101" s="2">
        <f t="shared" si="214"/>
        <v>2.8732925105982101E-2</v>
      </c>
      <c r="R101" s="2">
        <f t="shared" si="214"/>
        <v>2.8520098809791151E-2</v>
      </c>
      <c r="S101" s="2">
        <f t="shared" ref="S101:T101" si="215">IFERROR(S30/S13,"N/A")</f>
        <v>8.8711372713895315E-2</v>
      </c>
      <c r="T101" s="2">
        <f t="shared" si="215"/>
        <v>0.17215919322888529</v>
      </c>
      <c r="U101" s="2">
        <f t="shared" ref="U101:Y101" si="216">IFERROR(U30/U13,"N/A")</f>
        <v>3.3195970695970696E-2</v>
      </c>
      <c r="V101" s="2">
        <f t="shared" si="216"/>
        <v>-0.11633530360021493</v>
      </c>
      <c r="W101" s="2">
        <f t="shared" si="216"/>
        <v>-2.3320683111954459</v>
      </c>
      <c r="X101" s="2">
        <f t="shared" si="216"/>
        <v>-1.0369881109643329</v>
      </c>
      <c r="Y101" s="2">
        <f t="shared" si="216"/>
        <v>-1.2309552599758162</v>
      </c>
      <c r="Z101" s="2">
        <f t="shared" ref="Z101:AA101" si="217">IFERROR(Z30/Z13,"N/A")</f>
        <v>-1.4115226337448559</v>
      </c>
      <c r="AA101" s="2">
        <f t="shared" si="217"/>
        <v>-1.3464755077658304</v>
      </c>
      <c r="AB101" s="2">
        <f t="shared" ref="AB101" si="218">IFERROR(AB30/AB13,"N/A")</f>
        <v>-0.17879220161673801</v>
      </c>
    </row>
    <row r="102" spans="1:28" x14ac:dyDescent="0.3">
      <c r="A102" s="85" t="s">
        <v>60</v>
      </c>
      <c r="B102" s="46">
        <f t="shared" ref="B102:D102" si="219">IFERROR(B30/-B90,"N/A")</f>
        <v>2.4691358024691357</v>
      </c>
      <c r="C102" s="46">
        <f t="shared" si="219"/>
        <v>4.1095890410958908</v>
      </c>
      <c r="D102" s="46">
        <f t="shared" si="219"/>
        <v>9.4767441860465116</v>
      </c>
      <c r="E102" s="46">
        <f t="shared" ref="E102:R102" si="220">IFERROR(E30/-E90,"N/A")</f>
        <v>2.3924050632911391</v>
      </c>
      <c r="F102" s="46">
        <f t="shared" si="220"/>
        <v>2.1095890410958904</v>
      </c>
      <c r="G102" s="46">
        <f t="shared" si="220"/>
        <v>3.2976190476190474</v>
      </c>
      <c r="H102" s="46">
        <f t="shared" si="220"/>
        <v>10.541176470588235</v>
      </c>
      <c r="I102" s="46">
        <f t="shared" si="220"/>
        <v>1.472972972972973</v>
      </c>
      <c r="J102" s="46">
        <f t="shared" si="220"/>
        <v>-0.34285714285714286</v>
      </c>
      <c r="K102" s="46">
        <f t="shared" si="220"/>
        <v>3.9577464788732395</v>
      </c>
      <c r="L102" s="46">
        <f t="shared" si="220"/>
        <v>16.125</v>
      </c>
      <c r="M102" s="46">
        <f t="shared" si="220"/>
        <v>1.9</v>
      </c>
      <c r="N102" s="46">
        <f t="shared" si="220"/>
        <v>-0.2</v>
      </c>
      <c r="O102" s="46">
        <f t="shared" si="220"/>
        <v>2.9350649350649349</v>
      </c>
      <c r="P102" s="46">
        <f t="shared" si="220"/>
        <v>11.506849315068493</v>
      </c>
      <c r="Q102" s="46">
        <f t="shared" si="220"/>
        <v>1.6052631578947369</v>
      </c>
      <c r="R102" s="46">
        <f t="shared" si="220"/>
        <v>1.016</v>
      </c>
      <c r="S102" s="46">
        <f t="shared" ref="S102:T102" si="221">IFERROR(S30/-S90,"N/A")</f>
        <v>3.459016393442623</v>
      </c>
      <c r="T102" s="46">
        <f t="shared" si="221"/>
        <v>7.9666666666666668</v>
      </c>
      <c r="U102" s="46">
        <f t="shared" ref="U102:Y102" si="222">IFERROR(U30/-U90,"N/A")</f>
        <v>1.2831858407079646</v>
      </c>
      <c r="V102" s="46">
        <f t="shared" si="222"/>
        <v>-3.5785123966942147</v>
      </c>
      <c r="W102" s="46">
        <f t="shared" si="222"/>
        <v>-8.594405594405595</v>
      </c>
      <c r="X102" s="46">
        <f t="shared" si="222"/>
        <v>-4.0051020408163263</v>
      </c>
      <c r="Y102" s="46">
        <f t="shared" si="222"/>
        <v>-5.1938775510204085</v>
      </c>
      <c r="Z102" s="46">
        <f t="shared" ref="Z102:AA102" si="223">IFERROR(Z30/-Z90,"N/A")</f>
        <v>-5.9479768786127165</v>
      </c>
      <c r="AA102" s="46">
        <f t="shared" si="223"/>
        <v>-7.0880503144654092</v>
      </c>
      <c r="AB102" s="46">
        <f t="shared" ref="AB102" si="224">IFERROR(AB30/-AB90,"N/A")</f>
        <v>-1.9481865284974094</v>
      </c>
    </row>
    <row r="103" spans="1:28" x14ac:dyDescent="0.3">
      <c r="A103" s="85" t="s">
        <v>61</v>
      </c>
      <c r="B103" s="46">
        <f t="shared" ref="B103:D103" si="225">IFERROR(B30/-B92,"N/A")</f>
        <v>2.7777777777777777</v>
      </c>
      <c r="C103" s="46">
        <f t="shared" si="225"/>
        <v>4.918032786885246</v>
      </c>
      <c r="D103" s="46">
        <f t="shared" si="225"/>
        <v>11.013513513513514</v>
      </c>
      <c r="E103" s="46">
        <f t="shared" ref="E103:R103" si="226">IFERROR(E30/-E92,"N/A")</f>
        <v>2.8636363636363638</v>
      </c>
      <c r="F103" s="46">
        <f t="shared" si="226"/>
        <v>2.4444444444444446</v>
      </c>
      <c r="G103" s="46">
        <f t="shared" si="226"/>
        <v>3.9014084507042255</v>
      </c>
      <c r="H103" s="46">
        <f t="shared" si="226"/>
        <v>12.273972602739725</v>
      </c>
      <c r="I103" s="46">
        <f t="shared" si="226"/>
        <v>1.7868852459016393</v>
      </c>
      <c r="J103" s="46">
        <f t="shared" si="226"/>
        <v>-0.41379310344827586</v>
      </c>
      <c r="K103" s="46">
        <f t="shared" si="226"/>
        <v>4.9298245614035086</v>
      </c>
      <c r="L103" s="46">
        <f t="shared" si="226"/>
        <v>21.5</v>
      </c>
      <c r="M103" s="46">
        <f t="shared" si="226"/>
        <v>2.5576923076923075</v>
      </c>
      <c r="N103" s="46">
        <f t="shared" si="226"/>
        <v>-0.28000000000000003</v>
      </c>
      <c r="O103" s="46">
        <f t="shared" si="226"/>
        <v>4.2641509433962268</v>
      </c>
      <c r="P103" s="46">
        <f t="shared" si="226"/>
        <v>20.487804878048781</v>
      </c>
      <c r="Q103" s="46">
        <f t="shared" si="226"/>
        <v>2.7727272727272729</v>
      </c>
      <c r="R103" s="46">
        <f t="shared" si="226"/>
        <v>1.4597701149425288</v>
      </c>
      <c r="S103" s="46">
        <f t="shared" ref="S103:T103" si="227">IFERROR(S30/-S92,"N/A")</f>
        <v>5.2098765432098766</v>
      </c>
      <c r="T103" s="46">
        <f t="shared" si="227"/>
        <v>12.578947368421053</v>
      </c>
      <c r="U103" s="46">
        <f t="shared" ref="U103:Y103" si="228">IFERROR(U30/-U92,"N/A")</f>
        <v>2.0138888888888888</v>
      </c>
      <c r="V103" s="46">
        <f t="shared" si="228"/>
        <v>-5.481012658227848</v>
      </c>
      <c r="W103" s="46">
        <f t="shared" si="228"/>
        <v>-11.072072072072071</v>
      </c>
      <c r="X103" s="46">
        <f t="shared" si="228"/>
        <v>-4.7865853658536581</v>
      </c>
      <c r="Y103" s="46">
        <f t="shared" si="228"/>
        <v>-5.9882352941176471</v>
      </c>
      <c r="Z103" s="46">
        <f t="shared" ref="Z103:AA103" si="229">IFERROR(Z30/-Z92,"N/A")</f>
        <v>-6.7697368421052628</v>
      </c>
      <c r="AA103" s="46">
        <f t="shared" si="229"/>
        <v>-7.8811188811188808</v>
      </c>
      <c r="AB103" s="46">
        <f t="shared" ref="AB103" si="230">IFERROR(AB30/-AB92,"N/A")</f>
        <v>-2.1363636363636362</v>
      </c>
    </row>
    <row r="104" spans="1:28" x14ac:dyDescent="0.3">
      <c r="A104" s="8" t="s">
        <v>62</v>
      </c>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row>
    <row r="105" spans="1:28" x14ac:dyDescent="0.3">
      <c r="A105" s="85" t="s">
        <v>63</v>
      </c>
      <c r="B105" s="40"/>
      <c r="C105" s="40"/>
      <c r="D105" s="40"/>
      <c r="E105" s="2"/>
      <c r="F105" s="2"/>
      <c r="G105" s="2"/>
      <c r="H105" s="2"/>
      <c r="I105" s="2"/>
      <c r="J105" s="2"/>
      <c r="K105" s="2"/>
      <c r="L105" s="2"/>
      <c r="M105" s="2"/>
      <c r="N105" s="2"/>
      <c r="O105" s="2"/>
      <c r="P105" s="2"/>
      <c r="Q105" s="2"/>
      <c r="R105" s="2"/>
      <c r="S105" s="2"/>
      <c r="T105" s="2"/>
      <c r="U105" s="2"/>
      <c r="V105" s="2"/>
      <c r="W105" s="2"/>
      <c r="X105" s="2"/>
      <c r="Y105" s="2"/>
      <c r="Z105" s="2"/>
      <c r="AA105" s="2"/>
      <c r="AB105" s="2"/>
    </row>
    <row r="106" spans="1:28" x14ac:dyDescent="0.3">
      <c r="A106" s="85" t="s">
        <v>64</v>
      </c>
      <c r="B106" s="40"/>
      <c r="C106" s="40"/>
      <c r="D106" s="40"/>
      <c r="E106" s="2"/>
      <c r="F106" s="2"/>
      <c r="G106" s="2"/>
      <c r="H106" s="2"/>
      <c r="I106" s="2"/>
      <c r="J106" s="2"/>
      <c r="K106" s="2"/>
      <c r="L106" s="2"/>
      <c r="M106" s="2"/>
      <c r="N106" s="2"/>
      <c r="O106" s="2"/>
      <c r="P106" s="2"/>
      <c r="Q106" s="2"/>
      <c r="R106" s="2"/>
      <c r="S106" s="2"/>
      <c r="T106" s="2"/>
      <c r="U106" s="2"/>
      <c r="V106" s="2"/>
      <c r="W106" s="2"/>
      <c r="X106" s="2"/>
      <c r="Y106" s="2"/>
      <c r="Z106" s="2"/>
      <c r="AA106" s="2"/>
      <c r="AB106" s="2"/>
    </row>
    <row r="107" spans="1:28" x14ac:dyDescent="0.3">
      <c r="A107" s="85" t="s">
        <v>65</v>
      </c>
      <c r="B107" s="40"/>
      <c r="C107" s="40"/>
      <c r="D107" s="40"/>
      <c r="E107" s="2"/>
      <c r="F107" s="2"/>
      <c r="G107" s="2"/>
      <c r="H107" s="2"/>
      <c r="I107" s="2"/>
      <c r="J107" s="2"/>
      <c r="K107" s="2"/>
      <c r="L107" s="2"/>
      <c r="M107" s="2"/>
      <c r="N107" s="2"/>
      <c r="O107" s="2"/>
      <c r="P107" s="2"/>
      <c r="Q107" s="2"/>
      <c r="R107" s="2"/>
      <c r="S107" s="2"/>
      <c r="T107" s="2"/>
      <c r="U107" s="2"/>
      <c r="V107" s="2"/>
      <c r="W107" s="2"/>
      <c r="X107" s="2"/>
      <c r="Y107" s="2"/>
      <c r="Z107" s="2"/>
      <c r="AA107" s="2"/>
      <c r="AB107" s="2"/>
    </row>
    <row r="108" spans="1:28" x14ac:dyDescent="0.3">
      <c r="A108" s="85"/>
      <c r="B108" s="85"/>
      <c r="C108" s="85"/>
      <c r="D108" s="30"/>
      <c r="E108" s="30"/>
      <c r="F108" s="30"/>
      <c r="G108" s="30"/>
      <c r="H108" s="30"/>
      <c r="I108" s="82"/>
      <c r="J108" s="82"/>
      <c r="K108" s="82"/>
      <c r="L108" s="218"/>
      <c r="M108" s="218"/>
      <c r="N108" s="218"/>
      <c r="O108" s="218"/>
      <c r="P108" s="218"/>
      <c r="Q108" s="218"/>
      <c r="R108" s="218"/>
      <c r="S108" s="218"/>
      <c r="T108" s="218"/>
      <c r="U108" s="218"/>
    </row>
    <row r="109" spans="1:28" x14ac:dyDescent="0.3">
      <c r="A109" s="85"/>
      <c r="B109" s="85"/>
      <c r="C109" s="85"/>
      <c r="D109" s="218"/>
      <c r="E109" s="218"/>
      <c r="F109" s="218"/>
      <c r="G109" s="218"/>
      <c r="H109" s="218"/>
      <c r="I109" s="218"/>
      <c r="J109" s="218"/>
      <c r="K109" s="218"/>
      <c r="L109" s="218"/>
      <c r="M109" s="218"/>
      <c r="N109" s="218"/>
      <c r="O109" s="218"/>
      <c r="P109" s="218"/>
      <c r="Q109" s="218"/>
      <c r="R109" s="218"/>
      <c r="S109" s="218"/>
      <c r="T109" s="218"/>
      <c r="U109" s="218"/>
    </row>
    <row r="110" spans="1:28" x14ac:dyDescent="0.3">
      <c r="A110" s="85"/>
      <c r="B110" s="85"/>
      <c r="C110" s="85"/>
      <c r="D110" s="218"/>
      <c r="E110" s="218"/>
      <c r="F110" s="218"/>
      <c r="G110" s="218"/>
      <c r="H110" s="218"/>
      <c r="I110" s="218"/>
      <c r="J110" s="218"/>
      <c r="K110" s="218"/>
      <c r="L110" s="218"/>
      <c r="M110" s="218"/>
      <c r="N110" s="218"/>
      <c r="O110" s="218"/>
      <c r="P110" s="218"/>
      <c r="Q110" s="218"/>
      <c r="R110" s="218"/>
      <c r="S110" s="218"/>
      <c r="T110" s="218"/>
      <c r="U110" s="218"/>
    </row>
    <row r="111" spans="1:28" x14ac:dyDescent="0.3">
      <c r="A111" s="85"/>
      <c r="B111" s="85"/>
      <c r="C111" s="85"/>
      <c r="D111" s="218"/>
      <c r="E111" s="218"/>
      <c r="F111" s="218"/>
      <c r="G111" s="218"/>
      <c r="H111" s="218"/>
      <c r="I111" s="218"/>
      <c r="J111" s="218"/>
      <c r="K111" s="218"/>
      <c r="L111" s="218"/>
      <c r="M111" s="218"/>
      <c r="N111" s="218"/>
      <c r="O111" s="218"/>
      <c r="P111" s="218"/>
      <c r="Q111" s="218"/>
      <c r="R111" s="218"/>
      <c r="S111" s="218"/>
      <c r="T111" s="218"/>
      <c r="U111" s="218"/>
    </row>
    <row r="112" spans="1:28" x14ac:dyDescent="0.3">
      <c r="A112" s="85"/>
      <c r="B112" s="85"/>
      <c r="C112" s="85"/>
      <c r="D112" s="218"/>
      <c r="E112" s="218"/>
      <c r="F112" s="218"/>
      <c r="G112" s="218"/>
      <c r="H112" s="218"/>
      <c r="I112" s="218"/>
      <c r="J112" s="218"/>
      <c r="K112" s="218"/>
      <c r="L112" s="218"/>
      <c r="M112" s="218"/>
      <c r="N112" s="218"/>
      <c r="O112" s="218"/>
      <c r="P112" s="218"/>
      <c r="Q112" s="218"/>
      <c r="R112" s="218"/>
      <c r="S112" s="218"/>
      <c r="T112" s="218"/>
      <c r="U112" s="218"/>
    </row>
    <row r="113" spans="1:21" x14ac:dyDescent="0.3">
      <c r="A113" s="85"/>
      <c r="B113" s="85"/>
      <c r="C113" s="85"/>
      <c r="D113" s="218"/>
      <c r="E113" s="218"/>
      <c r="F113" s="218"/>
      <c r="G113" s="218"/>
      <c r="H113" s="218"/>
      <c r="I113" s="218"/>
      <c r="J113" s="218"/>
      <c r="K113" s="218"/>
      <c r="L113" s="218"/>
      <c r="M113" s="218"/>
      <c r="N113" s="218"/>
      <c r="O113" s="218"/>
      <c r="P113" s="218"/>
      <c r="Q113" s="218"/>
      <c r="R113" s="218"/>
      <c r="S113" s="218"/>
      <c r="T113" s="218"/>
      <c r="U113" s="218"/>
    </row>
    <row r="114" spans="1:21" x14ac:dyDescent="0.3">
      <c r="A114" s="85"/>
      <c r="B114" s="85"/>
      <c r="C114" s="85"/>
      <c r="D114" s="218"/>
      <c r="E114" s="218"/>
      <c r="F114" s="218"/>
      <c r="G114" s="218"/>
      <c r="H114" s="218"/>
      <c r="I114" s="218"/>
      <c r="J114" s="218"/>
      <c r="K114" s="218"/>
      <c r="L114" s="218"/>
      <c r="M114" s="218"/>
      <c r="N114" s="218"/>
      <c r="O114" s="218"/>
      <c r="P114" s="218"/>
      <c r="Q114" s="218"/>
      <c r="R114" s="218"/>
      <c r="S114" s="218"/>
      <c r="T114" s="218"/>
      <c r="U114" s="218"/>
    </row>
    <row r="115" spans="1:21" x14ac:dyDescent="0.3">
      <c r="A115" s="85"/>
      <c r="B115" s="85"/>
      <c r="C115" s="85"/>
      <c r="D115" s="218"/>
      <c r="E115" s="218"/>
      <c r="F115" s="218"/>
      <c r="G115" s="218"/>
      <c r="H115" s="218"/>
      <c r="I115" s="218"/>
      <c r="J115" s="218"/>
      <c r="K115" s="218"/>
      <c r="L115" s="218"/>
      <c r="M115" s="218"/>
      <c r="N115" s="218"/>
      <c r="O115" s="218"/>
      <c r="P115" s="218"/>
      <c r="Q115" s="218"/>
      <c r="R115" s="218"/>
      <c r="S115" s="218"/>
      <c r="T115" s="218"/>
      <c r="U115" s="218"/>
    </row>
    <row r="116" spans="1:21" x14ac:dyDescent="0.3">
      <c r="A116" s="85"/>
      <c r="B116" s="85"/>
      <c r="C116" s="85"/>
      <c r="D116" s="218"/>
      <c r="E116" s="218"/>
      <c r="F116" s="218"/>
      <c r="G116" s="218"/>
      <c r="H116" s="218"/>
      <c r="I116" s="218"/>
      <c r="J116" s="218"/>
      <c r="K116" s="218"/>
      <c r="L116" s="218"/>
      <c r="M116" s="218"/>
      <c r="N116" s="218"/>
      <c r="O116" s="218"/>
      <c r="P116" s="218"/>
      <c r="Q116" s="218"/>
      <c r="R116" s="218"/>
      <c r="S116" s="218"/>
      <c r="T116" s="218"/>
      <c r="U116" s="218"/>
    </row>
  </sheetData>
  <mergeCells count="1">
    <mergeCell ref="A1:T1"/>
  </mergeCells>
  <pageMargins left="0.70866141732283472" right="0.70866141732283472" top="0.74803149606299213" bottom="0.74803149606299213" header="0.31496062992125984" footer="0.31496062992125984"/>
  <pageSetup paperSize="9" scale="24" orientation="portrait" r:id="rId1"/>
  <headerFooter alignWithMargins="0"/>
  <rowBreaks count="1" manualBreakCount="1">
    <brk id="72" max="27" man="1"/>
  </rowBreaks>
  <ignoredErrors>
    <ignoredError sqref="D13 F13:H13" formulaRange="1"/>
    <ignoredError sqref="C73:K74 C96:K100 C82:D82 C81:D81 C76:D80 C75:D75 C89:K89 C83:D83 C56:K56 C63:D71 C59:D62 C52:D55 C72:D72 C84:D88 C101:D103 U29"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sheetPr>
  <dimension ref="A1:AG31"/>
  <sheetViews>
    <sheetView topLeftCell="N18" workbookViewId="0">
      <selection activeCell="AE29" sqref="AE29"/>
    </sheetView>
  </sheetViews>
  <sheetFormatPr defaultColWidth="9.109375" defaultRowHeight="14.4" x14ac:dyDescent="0.3"/>
  <cols>
    <col min="1" max="2" width="9.109375" style="52"/>
    <col min="3" max="3" width="37.109375" style="52" bestFit="1" customWidth="1"/>
    <col min="4" max="4" width="4.44140625" style="52" customWidth="1"/>
    <col min="5" max="5" width="12.109375" style="72" bestFit="1" customWidth="1"/>
    <col min="6" max="11" width="9.6640625" style="52" bestFit="1" customWidth="1"/>
    <col min="12" max="12" width="10.88671875" style="52" bestFit="1" customWidth="1"/>
    <col min="13" max="13" width="11" style="52" bestFit="1" customWidth="1"/>
    <col min="14" max="14" width="11" style="245" bestFit="1" customWidth="1"/>
    <col min="15" max="15" width="11.109375" style="245" customWidth="1"/>
    <col min="16" max="16" width="10.5546875" style="245" bestFit="1" customWidth="1"/>
    <col min="17" max="17" width="10" style="245" bestFit="1" customWidth="1"/>
    <col min="18" max="18" width="9.44140625" style="245" bestFit="1" customWidth="1"/>
    <col min="19" max="20" width="9.6640625" style="245" bestFit="1" customWidth="1"/>
    <col min="21" max="21" width="11.5546875" style="245" bestFit="1" customWidth="1"/>
    <col min="22" max="22" width="9.109375" style="245"/>
    <col min="23" max="24" width="9.6640625" style="245" bestFit="1" customWidth="1"/>
    <col min="25" max="25" width="10.44140625" style="245" customWidth="1"/>
    <col min="26" max="26" width="9.5546875" style="245" bestFit="1" customWidth="1"/>
    <col min="27" max="28" width="10" style="245" customWidth="1"/>
    <col min="29" max="29" width="9.6640625" style="245" bestFit="1" customWidth="1"/>
    <col min="30" max="30" width="9.109375" style="245"/>
    <col min="31" max="31" width="9.44140625" style="245" bestFit="1" customWidth="1"/>
    <col min="32" max="33" width="9.109375" style="245"/>
    <col min="34" max="16384" width="9.109375" style="52"/>
  </cols>
  <sheetData>
    <row r="1" spans="1:33" s="3" customFormat="1" x14ac:dyDescent="0.3"/>
    <row r="2" spans="1:33" s="3" customFormat="1" x14ac:dyDescent="0.3"/>
    <row r="3" spans="1:33" s="3" customFormat="1" x14ac:dyDescent="0.3"/>
    <row r="4" spans="1:33" s="3" customFormat="1" x14ac:dyDescent="0.3"/>
    <row r="5" spans="1:33" s="3" customFormat="1" x14ac:dyDescent="0.3"/>
    <row r="6" spans="1:33" s="3" customFormat="1" x14ac:dyDescent="0.3"/>
    <row r="7" spans="1:33" s="3" customFormat="1" x14ac:dyDescent="0.3"/>
    <row r="8" spans="1:33" x14ac:dyDescent="0.3">
      <c r="A8" s="247"/>
    </row>
    <row r="9" spans="1:33" x14ac:dyDescent="0.3">
      <c r="C9" s="241" t="s">
        <v>473</v>
      </c>
      <c r="D9" s="241"/>
      <c r="E9" s="248" t="s">
        <v>624</v>
      </c>
    </row>
    <row r="10" spans="1:33" x14ac:dyDescent="0.3">
      <c r="C10" s="241" t="s">
        <v>444</v>
      </c>
      <c r="D10" s="241"/>
      <c r="E10" s="248" t="s">
        <v>442</v>
      </c>
    </row>
    <row r="11" spans="1:33" x14ac:dyDescent="0.3">
      <c r="C11" s="241" t="s">
        <v>445</v>
      </c>
      <c r="D11" s="241"/>
      <c r="E11" s="249">
        <v>12</v>
      </c>
    </row>
    <row r="12" spans="1:33" x14ac:dyDescent="0.3">
      <c r="C12" s="241" t="s">
        <v>448</v>
      </c>
      <c r="D12" s="241"/>
      <c r="E12" s="249">
        <v>31</v>
      </c>
    </row>
    <row r="13" spans="1:33" x14ac:dyDescent="0.3">
      <c r="C13" s="241" t="s">
        <v>446</v>
      </c>
      <c r="D13" s="241"/>
      <c r="E13" s="297">
        <v>2010</v>
      </c>
      <c r="F13" s="254" t="s">
        <v>483</v>
      </c>
    </row>
    <row r="14" spans="1:33" x14ac:dyDescent="0.3">
      <c r="C14" s="241" t="s">
        <v>475</v>
      </c>
      <c r="D14" s="241"/>
      <c r="E14" s="249" t="s">
        <v>478</v>
      </c>
      <c r="G14" s="246" t="s">
        <v>478</v>
      </c>
    </row>
    <row r="15" spans="1:33" s="183" customFormat="1" x14ac:dyDescent="0.3">
      <c r="C15" s="241" t="s">
        <v>476</v>
      </c>
      <c r="D15" s="251"/>
      <c r="E15" s="252">
        <v>3</v>
      </c>
      <c r="G15" s="246" t="s">
        <v>479</v>
      </c>
      <c r="N15" s="253"/>
      <c r="O15" s="253"/>
      <c r="P15" s="253"/>
      <c r="Q15" s="253"/>
      <c r="R15" s="253"/>
      <c r="S15" s="253"/>
      <c r="T15" s="253"/>
      <c r="U15" s="253"/>
      <c r="V15" s="253"/>
      <c r="W15" s="253"/>
      <c r="X15" s="253"/>
      <c r="Y15" s="253"/>
      <c r="Z15" s="253"/>
      <c r="AA15" s="253"/>
      <c r="AB15" s="253"/>
      <c r="AC15" s="253"/>
      <c r="AD15" s="253"/>
      <c r="AE15" s="253"/>
      <c r="AF15" s="253"/>
      <c r="AG15" s="253"/>
    </row>
    <row r="16" spans="1:33" x14ac:dyDescent="0.3">
      <c r="C16" s="241" t="s">
        <v>477</v>
      </c>
      <c r="D16" s="241"/>
      <c r="E16" s="249">
        <v>31</v>
      </c>
    </row>
    <row r="17" spans="3:31" x14ac:dyDescent="0.3">
      <c r="C17" s="241" t="s">
        <v>447</v>
      </c>
      <c r="D17" s="241"/>
      <c r="E17" s="297">
        <v>2015</v>
      </c>
      <c r="F17" s="254" t="s">
        <v>484</v>
      </c>
    </row>
    <row r="18" spans="3:31" x14ac:dyDescent="0.3">
      <c r="C18" s="241" t="s">
        <v>451</v>
      </c>
      <c r="D18" s="241"/>
      <c r="E18" s="249" t="s">
        <v>625</v>
      </c>
    </row>
    <row r="19" spans="3:31" x14ac:dyDescent="0.3">
      <c r="C19" s="241" t="s">
        <v>452</v>
      </c>
      <c r="D19" s="241"/>
      <c r="E19" s="249" t="s">
        <v>453</v>
      </c>
    </row>
    <row r="20" spans="3:31" x14ac:dyDescent="0.3">
      <c r="U20" s="246" t="s">
        <v>442</v>
      </c>
      <c r="V20" s="246"/>
      <c r="W20" s="246">
        <v>1</v>
      </c>
    </row>
    <row r="21" spans="3:31" x14ac:dyDescent="0.3">
      <c r="U21" s="246" t="s">
        <v>443</v>
      </c>
      <c r="V21" s="246"/>
      <c r="W21" s="246">
        <v>2</v>
      </c>
    </row>
    <row r="22" spans="3:31" x14ac:dyDescent="0.3">
      <c r="C22" s="241" t="s">
        <v>454</v>
      </c>
      <c r="U22" s="246"/>
      <c r="V22" s="246"/>
      <c r="W22" s="246">
        <v>3</v>
      </c>
    </row>
    <row r="23" spans="3:31" x14ac:dyDescent="0.3">
      <c r="C23" s="189" t="s">
        <v>459</v>
      </c>
      <c r="E23" s="250">
        <f>'Annual Operational Data'!B3</f>
        <v>40543</v>
      </c>
      <c r="F23" s="250">
        <f>'Annual Operational Data'!C3</f>
        <v>40908</v>
      </c>
      <c r="G23" s="250">
        <f>'Annual Operational Data'!D3</f>
        <v>41274</v>
      </c>
      <c r="H23" s="250">
        <f>'Annual Operational Data'!E3</f>
        <v>41639</v>
      </c>
      <c r="I23" s="250">
        <f>'Annual Operational Data'!F3</f>
        <v>42004</v>
      </c>
      <c r="J23" s="250">
        <f>'Annual Operational Data'!G3</f>
        <v>42369</v>
      </c>
      <c r="K23" s="250">
        <f>'Annual Operational Data'!H3</f>
        <v>42735</v>
      </c>
      <c r="L23" s="250">
        <f>'Annual Operational Data'!I3</f>
        <v>43100</v>
      </c>
      <c r="M23" s="250">
        <f>'Annual Operational Data'!J3</f>
        <v>43465</v>
      </c>
      <c r="N23" s="250">
        <f>'Annual Operational Data'!K3</f>
        <v>43830</v>
      </c>
      <c r="O23" s="250">
        <f>'Annual Operational Data'!L3</f>
        <v>44196</v>
      </c>
      <c r="P23" s="250" t="s">
        <v>268</v>
      </c>
      <c r="U23" s="246"/>
      <c r="V23" s="246"/>
      <c r="W23" s="246">
        <v>4</v>
      </c>
    </row>
    <row r="24" spans="3:31" x14ac:dyDescent="0.3">
      <c r="C24" s="52" t="s">
        <v>455</v>
      </c>
      <c r="E24" s="242">
        <v>1.0301899999999999</v>
      </c>
      <c r="F24" s="243">
        <v>0.98882999999999999</v>
      </c>
      <c r="G24" s="243">
        <v>0.99963999999999997</v>
      </c>
      <c r="H24" s="243">
        <v>1.0298</v>
      </c>
      <c r="I24" s="243">
        <v>1.0407</v>
      </c>
      <c r="J24" s="243">
        <v>1.27763</v>
      </c>
      <c r="K24" s="243">
        <v>1.32524</v>
      </c>
      <c r="L24" s="243">
        <v>1.2981288461538452</v>
      </c>
      <c r="M24" s="243">
        <v>1.2959680076628346</v>
      </c>
      <c r="N24" s="243">
        <v>1.3269</v>
      </c>
      <c r="O24" s="243">
        <f>AVERAGE(X29,AB29)</f>
        <v>1.31555</v>
      </c>
      <c r="P24" s="243">
        <f>AVERAGE(Z29,AD29)</f>
        <v>1.2986</v>
      </c>
      <c r="U24" s="246"/>
      <c r="V24" s="246"/>
      <c r="W24" s="246">
        <v>5</v>
      </c>
    </row>
    <row r="25" spans="3:31" x14ac:dyDescent="0.3">
      <c r="C25" s="52" t="s">
        <v>456</v>
      </c>
      <c r="E25" s="242">
        <v>0.99502487562189068</v>
      </c>
      <c r="F25" s="243">
        <v>1.021659174499387</v>
      </c>
      <c r="G25" s="243">
        <v>0.99700897308075787</v>
      </c>
      <c r="H25" s="243">
        <v>1.0632303063166513</v>
      </c>
      <c r="I25" s="243">
        <v>1.1591515011011939</v>
      </c>
      <c r="J25" s="243">
        <v>1.3847538600013849</v>
      </c>
      <c r="K25" s="243">
        <v>1.3425</v>
      </c>
      <c r="L25" s="243">
        <v>1.2570999999999999</v>
      </c>
      <c r="M25" s="243">
        <v>1.3613</v>
      </c>
      <c r="N25" s="243">
        <v>1.2989999999999999</v>
      </c>
      <c r="O25" s="243">
        <f>AB29</f>
        <v>1.3321000000000001</v>
      </c>
      <c r="P25" s="243">
        <f>AD29</f>
        <v>1.2396</v>
      </c>
      <c r="U25" s="246"/>
      <c r="V25" s="246"/>
      <c r="W25" s="246">
        <v>6</v>
      </c>
    </row>
    <row r="26" spans="3:31" x14ac:dyDescent="0.3">
      <c r="E26" s="239"/>
      <c r="F26" s="240"/>
      <c r="G26" s="240"/>
      <c r="H26" s="240"/>
      <c r="I26" s="240"/>
      <c r="J26" s="240"/>
      <c r="K26" s="240"/>
      <c r="L26" s="240"/>
      <c r="U26" s="246"/>
      <c r="V26" s="246"/>
      <c r="W26" s="246">
        <v>7</v>
      </c>
    </row>
    <row r="27" spans="3:31" x14ac:dyDescent="0.3">
      <c r="C27" s="189" t="s">
        <v>460</v>
      </c>
      <c r="E27" s="250">
        <f>'Interim Operational Data'!B3</f>
        <v>42094</v>
      </c>
      <c r="F27" s="250">
        <f>'Interim Operational Data'!C3</f>
        <v>42185</v>
      </c>
      <c r="G27" s="250">
        <f>'Interim Operational Data'!D3</f>
        <v>42277</v>
      </c>
      <c r="H27" s="250">
        <f>'Interim Operational Data'!E3</f>
        <v>42369</v>
      </c>
      <c r="I27" s="250">
        <f>'Interim Operational Data'!F3</f>
        <v>42460</v>
      </c>
      <c r="J27" s="250">
        <f>'Interim Operational Data'!G3</f>
        <v>42551</v>
      </c>
      <c r="K27" s="250">
        <f>'Interim Operational Data'!H3</f>
        <v>42643</v>
      </c>
      <c r="L27" s="250">
        <f>'Interim Operational Data'!I3</f>
        <v>42735</v>
      </c>
      <c r="M27" s="250">
        <f>'Interim Operational Data'!J3</f>
        <v>42825</v>
      </c>
      <c r="N27" s="250">
        <f>'Interim Operational Data'!K3</f>
        <v>42916</v>
      </c>
      <c r="O27" s="250">
        <f>'Interim Operational Data'!L3</f>
        <v>43008</v>
      </c>
      <c r="P27" s="250">
        <f>'Interim Operational Data'!M3</f>
        <v>43100</v>
      </c>
      <c r="Q27" s="250">
        <f>'Interim Operational Data'!N3</f>
        <v>43190</v>
      </c>
      <c r="R27" s="250">
        <f>'Interim Operational Data'!O3</f>
        <v>43281</v>
      </c>
      <c r="S27" s="250">
        <f>'Interim Operational Data'!P3</f>
        <v>43373</v>
      </c>
      <c r="T27" s="250">
        <f>'Interim Operational Data'!Q3</f>
        <v>43465</v>
      </c>
      <c r="U27" s="250">
        <f>'Interim Operational Data'!R3</f>
        <v>43555</v>
      </c>
      <c r="V27" s="250">
        <f>'Interim Operational Data'!S3</f>
        <v>43646</v>
      </c>
      <c r="W27" s="250">
        <f>'Interim Operational Data'!T3</f>
        <v>43738</v>
      </c>
      <c r="X27" s="250">
        <f>'Interim Operational Data'!U3</f>
        <v>43830</v>
      </c>
      <c r="Y27" s="250">
        <f>'Interim Operational Data'!V3</f>
        <v>43921</v>
      </c>
      <c r="Z27" s="250">
        <f>'Interim Operational Data'!W3</f>
        <v>44012</v>
      </c>
      <c r="AA27" s="250">
        <f>'Interim Operational Data'!X3</f>
        <v>44104</v>
      </c>
      <c r="AB27" s="250">
        <f>'Interim Operational Data'!Y3</f>
        <v>44196</v>
      </c>
      <c r="AC27" s="250">
        <f>'Interim Operational Data'!Z3</f>
        <v>44286</v>
      </c>
      <c r="AD27" s="250">
        <f>'Interim Operational Data'!AA3</f>
        <v>44377</v>
      </c>
      <c r="AE27" s="250">
        <f>'Interim Operational Data'!AB3</f>
        <v>44469</v>
      </c>
    </row>
    <row r="28" spans="3:31" x14ac:dyDescent="0.3">
      <c r="C28" s="52" t="s">
        <v>457</v>
      </c>
      <c r="E28" s="242">
        <v>1.2383299999999999</v>
      </c>
      <c r="F28" s="243">
        <v>1.22967</v>
      </c>
      <c r="G28" s="243">
        <v>1.30657</v>
      </c>
      <c r="H28" s="243">
        <v>1.33456</v>
      </c>
      <c r="I28" s="243">
        <v>1.3741099999999999</v>
      </c>
      <c r="J28" s="243">
        <v>1.2889299999999999</v>
      </c>
      <c r="K28" s="243">
        <v>1.3035699999999999</v>
      </c>
      <c r="L28" s="243">
        <v>1.3345</v>
      </c>
      <c r="M28" s="243">
        <v>1.32372</v>
      </c>
      <c r="N28" s="243">
        <v>1.347</v>
      </c>
      <c r="O28" s="243">
        <v>1.2538199999999999</v>
      </c>
      <c r="P28" s="243">
        <v>1.2704446153846154</v>
      </c>
      <c r="Q28" s="243">
        <v>1.2640890625000001</v>
      </c>
      <c r="R28" s="243">
        <v>1.290776153846154</v>
      </c>
      <c r="S28" s="243">
        <v>1.307092153846154</v>
      </c>
      <c r="T28" s="243">
        <v>1.3207999999999998</v>
      </c>
      <c r="U28" s="243">
        <v>1.3297359375000002</v>
      </c>
      <c r="V28" s="243">
        <v>1.3377353846153852</v>
      </c>
      <c r="W28" s="243">
        <v>1.3203575757575758</v>
      </c>
      <c r="X28" s="243">
        <v>1.3200092999999999</v>
      </c>
      <c r="Y28" s="243">
        <f>AVERAGE(1.307065,1.32773,1.390289)</f>
        <v>1.3416946666666665</v>
      </c>
      <c r="Z28" s="243">
        <f>AVERAGE(1.40595,1.398093,1.356363)</f>
        <v>1.3868020000000001</v>
      </c>
      <c r="AA28" s="243">
        <f>AVERAGE(Z29,AA29)</f>
        <v>1.3448500000000001</v>
      </c>
      <c r="AB28" s="243">
        <f>AVERAGE(AA29,AB29)</f>
        <v>1.3321000000000001</v>
      </c>
      <c r="AC28" s="243">
        <f>AVERAGE(AB29,AC29)</f>
        <v>1.2942499999999999</v>
      </c>
      <c r="AD28" s="338">
        <f>AVERAGE(AC29,AD29)</f>
        <v>1.248</v>
      </c>
      <c r="AE28" s="338">
        <f>AVERAGE(AD29,AE29)</f>
        <v>1.254</v>
      </c>
    </row>
    <row r="29" spans="3:31" x14ac:dyDescent="0.3">
      <c r="C29" s="52" t="s">
        <v>458</v>
      </c>
      <c r="E29" s="242">
        <v>1.2746</v>
      </c>
      <c r="F29" s="243">
        <v>1.2381</v>
      </c>
      <c r="G29" s="243">
        <v>1.3397000000000001</v>
      </c>
      <c r="H29" s="243">
        <v>1.3847538600013849</v>
      </c>
      <c r="I29" s="243">
        <v>1.2953000000000001</v>
      </c>
      <c r="J29" s="243">
        <v>1.2927999999999999</v>
      </c>
      <c r="K29" s="243">
        <v>1.3127</v>
      </c>
      <c r="L29" s="243">
        <v>1.3425</v>
      </c>
      <c r="M29" s="243">
        <v>1.3317999999999999</v>
      </c>
      <c r="N29" s="243">
        <v>1.3308</v>
      </c>
      <c r="O29" s="243">
        <v>1.2716000000000001</v>
      </c>
      <c r="P29" s="243">
        <v>1.2570999999999999</v>
      </c>
      <c r="Q29" s="243">
        <v>1.29</v>
      </c>
      <c r="R29" s="243">
        <v>1.31335</v>
      </c>
      <c r="S29" s="243">
        <v>1.2907999999999999</v>
      </c>
      <c r="T29" s="243">
        <v>1.3613</v>
      </c>
      <c r="U29" s="243">
        <v>1.3349</v>
      </c>
      <c r="V29" s="243">
        <v>1.3094999999999999</v>
      </c>
      <c r="W29" s="243">
        <v>1.3240799999999999</v>
      </c>
      <c r="X29" s="243">
        <f>N25</f>
        <v>1.2989999999999999</v>
      </c>
      <c r="Y29" s="243">
        <v>1.4117611124</v>
      </c>
      <c r="Z29" s="243">
        <v>1.3575999999999999</v>
      </c>
      <c r="AA29" s="243">
        <f>1.3321</f>
        <v>1.3321000000000001</v>
      </c>
      <c r="AB29" s="243">
        <f>1.3321</f>
        <v>1.3321000000000001</v>
      </c>
      <c r="AC29" s="243">
        <v>1.2564</v>
      </c>
      <c r="AD29" s="338">
        <v>1.2396</v>
      </c>
      <c r="AE29" s="338">
        <v>1.2684</v>
      </c>
    </row>
    <row r="30" spans="3:31" x14ac:dyDescent="0.3">
      <c r="U30" s="246"/>
      <c r="V30" s="246"/>
      <c r="W30" s="246">
        <v>11</v>
      </c>
    </row>
    <row r="31" spans="3:31" x14ac:dyDescent="0.3">
      <c r="U31" s="246"/>
      <c r="V31" s="246"/>
      <c r="W31" s="246">
        <v>12</v>
      </c>
    </row>
  </sheetData>
  <dataValidations disablePrompts="1" count="3">
    <dataValidation type="list" allowBlank="1" showInputMessage="1" showErrorMessage="1" sqref="E10" xr:uid="{82B095E1-7CBA-411F-A441-04905A7D1E40}">
      <formula1>$U$20:$U$21</formula1>
    </dataValidation>
    <dataValidation type="list" allowBlank="1" showInputMessage="1" showErrorMessage="1" sqref="E11 E15" xr:uid="{CD485AD5-1497-4409-9A28-CADDA4248C91}">
      <formula1>$W$20:$W$31</formula1>
    </dataValidation>
    <dataValidation type="list" allowBlank="1" showInputMessage="1" showErrorMessage="1" sqref="E14" xr:uid="{14637CD6-96E9-4994-A667-49C849CC2CC7}">
      <formula1>$G$14:$G$15</formula1>
    </dataValidation>
  </dataValida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79998168889431442"/>
  </sheetPr>
  <dimension ref="A1:AC108"/>
  <sheetViews>
    <sheetView view="pageBreakPreview" zoomScale="85" zoomScaleNormal="100" zoomScaleSheetLayoutView="85" workbookViewId="0">
      <pane xSplit="1" ySplit="7" topLeftCell="O8" activePane="bottomRight" state="frozen"/>
      <selection pane="topRight" activeCell="B1" sqref="B1"/>
      <selection pane="bottomLeft" activeCell="A8" sqref="A8"/>
      <selection pane="bottomRight" activeCell="Z45" sqref="Z45"/>
    </sheetView>
  </sheetViews>
  <sheetFormatPr defaultColWidth="8.88671875" defaultRowHeight="14.4" x14ac:dyDescent="0.3"/>
  <cols>
    <col min="1" max="1" width="47.6640625" style="13" bestFit="1" customWidth="1"/>
    <col min="2" max="3" width="13" style="13" customWidth="1"/>
    <col min="4" max="4" width="11.44140625" style="13" customWidth="1"/>
    <col min="5" max="5" width="11.109375" style="13" customWidth="1"/>
    <col min="6" max="6" width="10.6640625" style="13" customWidth="1"/>
    <col min="7" max="7" width="11.33203125" style="13" customWidth="1"/>
    <col min="8" max="10" width="11.44140625" style="13" customWidth="1"/>
    <col min="11" max="13" width="10.44140625" style="13" customWidth="1"/>
    <col min="14" max="14" width="11.44140625" style="13" customWidth="1"/>
    <col min="15" max="17" width="10.44140625" style="13" customWidth="1"/>
    <col min="18" max="21" width="11.44140625" style="13" customWidth="1"/>
    <col min="22" max="22" width="10.33203125" style="13" customWidth="1"/>
    <col min="23" max="23" width="9.6640625" style="13" customWidth="1"/>
    <col min="24" max="24" width="10.109375" style="13" customWidth="1"/>
    <col min="25" max="25" width="10.33203125" style="13" customWidth="1"/>
    <col min="26" max="29" width="10.6640625" style="13" bestFit="1" customWidth="1"/>
    <col min="30" max="16384" width="8.88671875" style="13"/>
  </cols>
  <sheetData>
    <row r="1" spans="1:29" ht="28.8" x14ac:dyDescent="0.55000000000000004">
      <c r="A1" s="349" t="str">
        <f>IF(Inputs!$E$14="Semi-annual",(Inputs!$E$9&amp;" - Semi-annual Income Statement "&amp;Inputs!$E$19),(Inputs!$E$9&amp;" - Qtrly Income Statement "&amp;Inputs!$E$19))</f>
        <v>Air Canada - Qtrly Income Statement US$</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row>
    <row r="2" spans="1:29" x14ac:dyDescent="0.3">
      <c r="A2" s="3"/>
      <c r="B2" s="3" t="str">
        <f>'Interim Operational Data'!B2</f>
        <v>Q1</v>
      </c>
      <c r="C2" s="3" t="str">
        <f>'Interim Operational Data'!C2</f>
        <v>Q2</v>
      </c>
      <c r="D2" s="3" t="str">
        <f>'Interim Operational Data'!D2</f>
        <v>Q3</v>
      </c>
      <c r="E2" s="3" t="str">
        <f>'Interim Operational Data'!E2</f>
        <v>Q4</v>
      </c>
      <c r="F2" s="3" t="str">
        <f>'Interim Operational Data'!F2</f>
        <v>Q1</v>
      </c>
      <c r="G2" s="3" t="str">
        <f>'Interim Operational Data'!G2</f>
        <v>Q2</v>
      </c>
      <c r="H2" s="3" t="str">
        <f>'Interim Operational Data'!H2</f>
        <v>Q3</v>
      </c>
      <c r="I2" s="3" t="str">
        <f>'Interim Operational Data'!I2</f>
        <v>Q4</v>
      </c>
      <c r="J2" s="3" t="str">
        <f>'Interim Operational Data'!J2</f>
        <v>Q1</v>
      </c>
      <c r="K2" s="3" t="str">
        <f>'Interim Operational Data'!K2</f>
        <v>Q2</v>
      </c>
      <c r="L2" s="3" t="str">
        <f>'Interim Operational Data'!L2</f>
        <v>Q3</v>
      </c>
      <c r="M2" s="3" t="str">
        <f>'Interim Operational Data'!M2</f>
        <v>Q4</v>
      </c>
      <c r="N2" s="3" t="str">
        <f>'Interim Operational Data'!N2</f>
        <v>Q1</v>
      </c>
      <c r="O2" s="3" t="str">
        <f>'Interim Operational Data'!O2</f>
        <v>Q2</v>
      </c>
      <c r="P2" s="3" t="str">
        <f>'Interim Operational Data'!P2</f>
        <v>Q3</v>
      </c>
      <c r="Q2" s="3" t="str">
        <f>'Interim Operational Data'!Q2</f>
        <v>Q4</v>
      </c>
      <c r="R2" s="3" t="str">
        <f>'Interim Operational Data'!R2</f>
        <v>Q1</v>
      </c>
      <c r="S2" s="3" t="str">
        <f>'Interim Operational Data'!S2</f>
        <v>Q2</v>
      </c>
      <c r="T2" s="3" t="str">
        <f>'Interim Operational Data'!T2</f>
        <v>Q3</v>
      </c>
      <c r="U2" s="3" t="str">
        <f>'Interim Operational Data'!U2</f>
        <v>Q4</v>
      </c>
      <c r="V2" s="3" t="str">
        <f>'Interim Operational Data'!V2</f>
        <v>Q1</v>
      </c>
      <c r="W2" s="3" t="str">
        <f>'Interim Operational Data'!W2</f>
        <v>Q2</v>
      </c>
      <c r="X2" s="3" t="str">
        <f>'Interim Operational Data'!X2</f>
        <v>Q3</v>
      </c>
      <c r="Y2" s="3" t="str">
        <f>'Interim Operational Data'!Y2</f>
        <v>Q4</v>
      </c>
      <c r="Z2" s="3" t="str">
        <f>'Interim Operational Data'!Z2</f>
        <v>Q1</v>
      </c>
      <c r="AA2" s="3" t="str">
        <f>'Interim Operational Data'!AA2</f>
        <v>Q2</v>
      </c>
      <c r="AB2" s="3" t="str">
        <f>'Interim Operational Data'!AB2</f>
        <v>Q3</v>
      </c>
      <c r="AC2" s="3">
        <f>'Interim Operational Data'!AC2</f>
        <v>0</v>
      </c>
    </row>
    <row r="3" spans="1:29" x14ac:dyDescent="0.3">
      <c r="A3" s="3"/>
      <c r="B3" s="67">
        <f>'Interim Operational Data'!B3</f>
        <v>42094</v>
      </c>
      <c r="C3" s="67">
        <f>'Interim Operational Data'!C3</f>
        <v>42185</v>
      </c>
      <c r="D3" s="67">
        <f>'Interim Operational Data'!D3</f>
        <v>42277</v>
      </c>
      <c r="E3" s="67">
        <f>'Interim Operational Data'!E3</f>
        <v>42369</v>
      </c>
      <c r="F3" s="67">
        <f>'Interim Operational Data'!F3</f>
        <v>42460</v>
      </c>
      <c r="G3" s="67">
        <f>'Interim Operational Data'!G3</f>
        <v>42551</v>
      </c>
      <c r="H3" s="67">
        <f>'Interim Operational Data'!H3</f>
        <v>42643</v>
      </c>
      <c r="I3" s="67">
        <f>'Interim Operational Data'!I3</f>
        <v>42735</v>
      </c>
      <c r="J3" s="67">
        <f>'Interim Operational Data'!J3</f>
        <v>42825</v>
      </c>
      <c r="K3" s="67">
        <f>'Interim Operational Data'!K3</f>
        <v>42916</v>
      </c>
      <c r="L3" s="67">
        <f>'Interim Operational Data'!L3</f>
        <v>43008</v>
      </c>
      <c r="M3" s="67">
        <f>'Interim Operational Data'!M3</f>
        <v>43100</v>
      </c>
      <c r="N3" s="67">
        <f>'Interim Operational Data'!N3</f>
        <v>43190</v>
      </c>
      <c r="O3" s="67">
        <f>'Interim Operational Data'!O3</f>
        <v>43281</v>
      </c>
      <c r="P3" s="67">
        <f>'Interim Operational Data'!P3</f>
        <v>43373</v>
      </c>
      <c r="Q3" s="67">
        <f>'Interim Operational Data'!Q3</f>
        <v>43465</v>
      </c>
      <c r="R3" s="67">
        <f>'Interim Operational Data'!R3</f>
        <v>43555</v>
      </c>
      <c r="S3" s="67">
        <f>'Interim Operational Data'!S3</f>
        <v>43646</v>
      </c>
      <c r="T3" s="67">
        <f>'Interim Operational Data'!T3</f>
        <v>43738</v>
      </c>
      <c r="U3" s="67">
        <f>'Interim Operational Data'!U3</f>
        <v>43830</v>
      </c>
      <c r="V3" s="67">
        <f>'Interim Operational Data'!V3</f>
        <v>43921</v>
      </c>
      <c r="W3" s="67">
        <f>'Interim Operational Data'!W3</f>
        <v>44012</v>
      </c>
      <c r="X3" s="67">
        <f>'Interim Operational Data'!X3</f>
        <v>44104</v>
      </c>
      <c r="Y3" s="67">
        <f>'Interim Operational Data'!Y3</f>
        <v>44196</v>
      </c>
      <c r="Z3" s="67">
        <f>'Interim Operational Data'!Z3</f>
        <v>44286</v>
      </c>
      <c r="AA3" s="67">
        <f>'Interim Operational Data'!AA3</f>
        <v>44377</v>
      </c>
      <c r="AB3" s="67">
        <f>'Interim Operational Data'!AB3</f>
        <v>44469</v>
      </c>
      <c r="AC3" s="67">
        <f>'Interim Operational Data'!AC3</f>
        <v>0</v>
      </c>
    </row>
    <row r="4" spans="1:29" x14ac:dyDescent="0.3">
      <c r="A4" s="3"/>
      <c r="B4" s="66" t="s">
        <v>1</v>
      </c>
      <c r="C4" s="66" t="s">
        <v>1</v>
      </c>
      <c r="D4" s="66" t="s">
        <v>1</v>
      </c>
      <c r="E4" s="66" t="s">
        <v>1</v>
      </c>
      <c r="F4" s="66" t="s">
        <v>1</v>
      </c>
      <c r="G4" s="66" t="s">
        <v>1</v>
      </c>
      <c r="H4" s="66" t="s">
        <v>1</v>
      </c>
      <c r="I4" s="66" t="s">
        <v>1</v>
      </c>
      <c r="J4" s="66" t="s">
        <v>1</v>
      </c>
      <c r="K4" s="66" t="s">
        <v>1</v>
      </c>
      <c r="L4" s="66" t="s">
        <v>1</v>
      </c>
      <c r="M4" s="66" t="s">
        <v>1</v>
      </c>
      <c r="N4" s="66" t="s">
        <v>1</v>
      </c>
      <c r="O4" s="66" t="s">
        <v>1</v>
      </c>
      <c r="P4" s="66" t="s">
        <v>1</v>
      </c>
      <c r="Q4" s="66" t="s">
        <v>1</v>
      </c>
      <c r="R4" s="66" t="s">
        <v>1</v>
      </c>
      <c r="S4" s="66" t="s">
        <v>1</v>
      </c>
      <c r="T4" s="66" t="s">
        <v>1</v>
      </c>
      <c r="U4" s="66" t="s">
        <v>1</v>
      </c>
      <c r="V4" s="66" t="s">
        <v>1</v>
      </c>
      <c r="W4" s="66" t="s">
        <v>1</v>
      </c>
      <c r="X4" s="66" t="s">
        <v>1</v>
      </c>
      <c r="Y4" s="66" t="s">
        <v>1</v>
      </c>
      <c r="Z4" s="66" t="s">
        <v>1</v>
      </c>
      <c r="AA4" s="66" t="s">
        <v>1</v>
      </c>
      <c r="AB4" s="66" t="s">
        <v>1</v>
      </c>
      <c r="AC4" s="66" t="s">
        <v>1</v>
      </c>
    </row>
    <row r="5" spans="1:29" x14ac:dyDescent="0.3">
      <c r="A5" s="3"/>
      <c r="B5" s="3" t="str">
        <f>Inputs!$E$19 &amp;"m"</f>
        <v>US$m</v>
      </c>
      <c r="C5" s="3" t="str">
        <f>Inputs!$E$19 &amp;"m"</f>
        <v>US$m</v>
      </c>
      <c r="D5" s="3" t="str">
        <f>Inputs!$E$19 &amp;"m"</f>
        <v>US$m</v>
      </c>
      <c r="E5" s="3" t="str">
        <f>Inputs!$E$19 &amp;"m"</f>
        <v>US$m</v>
      </c>
      <c r="F5" s="3" t="str">
        <f>Inputs!$E$19 &amp;"m"</f>
        <v>US$m</v>
      </c>
      <c r="G5" s="3" t="str">
        <f>Inputs!$E$19 &amp;"m"</f>
        <v>US$m</v>
      </c>
      <c r="H5" s="3" t="str">
        <f>Inputs!$E$19 &amp;"m"</f>
        <v>US$m</v>
      </c>
      <c r="I5" s="3" t="str">
        <f>Inputs!$E$19 &amp;"m"</f>
        <v>US$m</v>
      </c>
      <c r="J5" s="3" t="str">
        <f>Inputs!$E$19 &amp;"m"</f>
        <v>US$m</v>
      </c>
      <c r="K5" s="3" t="str">
        <f>Inputs!$E$19 &amp;"m"</f>
        <v>US$m</v>
      </c>
      <c r="L5" s="3" t="str">
        <f>Inputs!$E$19 &amp;"m"</f>
        <v>US$m</v>
      </c>
      <c r="M5" s="3" t="str">
        <f>Inputs!$E$19 &amp;"m"</f>
        <v>US$m</v>
      </c>
      <c r="N5" s="3" t="str">
        <f>Inputs!$E$19 &amp;"m"</f>
        <v>US$m</v>
      </c>
      <c r="O5" s="3" t="str">
        <f>Inputs!$E$19 &amp;"m"</f>
        <v>US$m</v>
      </c>
      <c r="P5" s="3" t="str">
        <f>Inputs!$E$19 &amp;"m"</f>
        <v>US$m</v>
      </c>
      <c r="Q5" s="3" t="str">
        <f>Inputs!$E$19 &amp;"m"</f>
        <v>US$m</v>
      </c>
      <c r="R5" s="3" t="str">
        <f>Inputs!$E$19 &amp;"m"</f>
        <v>US$m</v>
      </c>
      <c r="S5" s="3" t="str">
        <f>Inputs!$E$19 &amp;"m"</f>
        <v>US$m</v>
      </c>
      <c r="T5" s="3" t="str">
        <f>Inputs!$E$19 &amp;"m"</f>
        <v>US$m</v>
      </c>
      <c r="U5" s="3" t="str">
        <f>Inputs!$E$19 &amp;"m"</f>
        <v>US$m</v>
      </c>
      <c r="V5" s="3" t="str">
        <f>Inputs!$E$19 &amp;"m"</f>
        <v>US$m</v>
      </c>
      <c r="W5" s="3" t="str">
        <f>Inputs!$E$19 &amp;"m"</f>
        <v>US$m</v>
      </c>
      <c r="X5" s="3" t="str">
        <f>Inputs!$E$19 &amp;"m"</f>
        <v>US$m</v>
      </c>
      <c r="Y5" s="3" t="str">
        <f>Inputs!$E$19 &amp;"m"</f>
        <v>US$m</v>
      </c>
      <c r="Z5" s="3" t="str">
        <f>Inputs!$E$19 &amp;"m"</f>
        <v>US$m</v>
      </c>
      <c r="AA5" s="3" t="str">
        <f>Inputs!$E$19 &amp;"m"</f>
        <v>US$m</v>
      </c>
      <c r="AB5" s="3" t="str">
        <f>Inputs!$E$19 &amp;"m"</f>
        <v>US$m</v>
      </c>
      <c r="AC5" s="3" t="str">
        <f>Inputs!$E$19 &amp;"m"</f>
        <v>US$m</v>
      </c>
    </row>
    <row r="6" spans="1:29" x14ac:dyDescent="0.3">
      <c r="A6" s="3"/>
      <c r="B6" s="3" t="str">
        <f>(Inputs!$E$19 &amp; " / " &amp;Inputs!$E$18)</f>
        <v>US$ / CAD</v>
      </c>
      <c r="C6" s="3" t="str">
        <f>(Inputs!$E$19 &amp; " / " &amp;Inputs!$E$18)</f>
        <v>US$ / CAD</v>
      </c>
      <c r="D6" s="3" t="str">
        <f>(Inputs!$E$19 &amp; " / " &amp;Inputs!$E$18)</f>
        <v>US$ / CAD</v>
      </c>
      <c r="E6" s="3" t="str">
        <f>(Inputs!$E$19 &amp; " / " &amp;Inputs!$E$18)</f>
        <v>US$ / CAD</v>
      </c>
      <c r="F6" s="3" t="str">
        <f>(Inputs!$E$19 &amp; " / " &amp;Inputs!$E$18)</f>
        <v>US$ / CAD</v>
      </c>
      <c r="G6" s="3" t="str">
        <f>(Inputs!$E$19 &amp; " / " &amp;Inputs!$E$18)</f>
        <v>US$ / CAD</v>
      </c>
      <c r="H6" s="3" t="str">
        <f>(Inputs!$E$19 &amp; " / " &amp;Inputs!$E$18)</f>
        <v>US$ / CAD</v>
      </c>
      <c r="I6" s="3" t="str">
        <f>(Inputs!$E$19 &amp; " / " &amp;Inputs!$E$18)</f>
        <v>US$ / CAD</v>
      </c>
      <c r="J6" s="3" t="str">
        <f>(Inputs!$E$19 &amp; " / " &amp;Inputs!$E$18)</f>
        <v>US$ / CAD</v>
      </c>
      <c r="K6" s="3" t="str">
        <f>(Inputs!$E$19 &amp; " / " &amp;Inputs!$E$18)</f>
        <v>US$ / CAD</v>
      </c>
      <c r="L6" s="3" t="str">
        <f>(Inputs!$E$19 &amp; " / " &amp;Inputs!$E$18)</f>
        <v>US$ / CAD</v>
      </c>
      <c r="M6" s="3" t="str">
        <f>(Inputs!$E$19 &amp; " / " &amp;Inputs!$E$18)</f>
        <v>US$ / CAD</v>
      </c>
      <c r="N6" s="3" t="str">
        <f>(Inputs!$E$19 &amp; " / " &amp;Inputs!$E$18)</f>
        <v>US$ / CAD</v>
      </c>
      <c r="O6" s="3" t="str">
        <f>(Inputs!$E$19 &amp; " / " &amp;Inputs!$E$18)</f>
        <v>US$ / CAD</v>
      </c>
      <c r="P6" s="3" t="str">
        <f>(Inputs!$E$19 &amp; " / " &amp;Inputs!$E$18)</f>
        <v>US$ / CAD</v>
      </c>
      <c r="Q6" s="3" t="str">
        <f>(Inputs!$E$19 &amp; " / " &amp;Inputs!$E$18)</f>
        <v>US$ / CAD</v>
      </c>
      <c r="R6" s="3" t="str">
        <f>(Inputs!$E$19 &amp; " / " &amp;Inputs!$E$18)</f>
        <v>US$ / CAD</v>
      </c>
      <c r="S6" s="3" t="str">
        <f>(Inputs!$E$19 &amp; " / " &amp;Inputs!$E$18)</f>
        <v>US$ / CAD</v>
      </c>
      <c r="T6" s="3" t="str">
        <f>(Inputs!$E$19 &amp; " / " &amp;Inputs!$E$18)</f>
        <v>US$ / CAD</v>
      </c>
      <c r="U6" s="3" t="str">
        <f>(Inputs!$E$19 &amp; " / " &amp;Inputs!$E$18)</f>
        <v>US$ / CAD</v>
      </c>
      <c r="V6" s="3" t="str">
        <f>(Inputs!$E$19 &amp; " / " &amp;Inputs!$E$18)</f>
        <v>US$ / CAD</v>
      </c>
      <c r="W6" s="3" t="str">
        <f>(Inputs!$E$19 &amp; " / " &amp;Inputs!$E$18)</f>
        <v>US$ / CAD</v>
      </c>
      <c r="X6" s="3" t="str">
        <f>(Inputs!$E$19 &amp; " / " &amp;Inputs!$E$18)</f>
        <v>US$ / CAD</v>
      </c>
      <c r="Y6" s="3" t="str">
        <f>(Inputs!$E$19 &amp; " / " &amp;Inputs!$E$18)</f>
        <v>US$ / CAD</v>
      </c>
      <c r="Z6" s="3" t="str">
        <f>(Inputs!$E$19 &amp; " / " &amp;Inputs!$E$18)</f>
        <v>US$ / CAD</v>
      </c>
      <c r="AA6" s="3" t="str">
        <f>(Inputs!$E$19 &amp; " / " &amp;Inputs!$E$18)</f>
        <v>US$ / CAD</v>
      </c>
      <c r="AB6" s="3" t="str">
        <f>(Inputs!$E$19 &amp; " / " &amp;Inputs!$E$18)</f>
        <v>US$ / CAD</v>
      </c>
      <c r="AC6" s="3" t="str">
        <f>(Inputs!$E$19 &amp; " / " &amp;Inputs!$E$18)</f>
        <v>US$ / CAD</v>
      </c>
    </row>
    <row r="7" spans="1:29" x14ac:dyDescent="0.3">
      <c r="A7" s="3"/>
      <c r="B7" s="20">
        <f>Inputs!E28</f>
        <v>1.2383299999999999</v>
      </c>
      <c r="C7" s="20">
        <f>Inputs!F28</f>
        <v>1.22967</v>
      </c>
      <c r="D7" s="20">
        <f>Inputs!G28</f>
        <v>1.30657</v>
      </c>
      <c r="E7" s="20">
        <f>Inputs!H28</f>
        <v>1.33456</v>
      </c>
      <c r="F7" s="20">
        <f>Inputs!I28</f>
        <v>1.3741099999999999</v>
      </c>
      <c r="G7" s="20">
        <f>Inputs!J28</f>
        <v>1.2889299999999999</v>
      </c>
      <c r="H7" s="20">
        <f>Inputs!K28</f>
        <v>1.3035699999999999</v>
      </c>
      <c r="I7" s="20">
        <f>Inputs!L28</f>
        <v>1.3345</v>
      </c>
      <c r="J7" s="20">
        <f>Inputs!M28</f>
        <v>1.32372</v>
      </c>
      <c r="K7" s="20">
        <f>Inputs!N28</f>
        <v>1.347</v>
      </c>
      <c r="L7" s="20">
        <f>Inputs!O28</f>
        <v>1.2538199999999999</v>
      </c>
      <c r="M7" s="20">
        <f>Inputs!P28</f>
        <v>1.2704446153846154</v>
      </c>
      <c r="N7" s="20">
        <f>Inputs!Q28</f>
        <v>1.2640890625000001</v>
      </c>
      <c r="O7" s="20">
        <f>Inputs!R28</f>
        <v>1.290776153846154</v>
      </c>
      <c r="P7" s="20">
        <f>Inputs!S28</f>
        <v>1.307092153846154</v>
      </c>
      <c r="Q7" s="20">
        <f>Inputs!T28</f>
        <v>1.3207999999999998</v>
      </c>
      <c r="R7" s="20">
        <f>Inputs!U28</f>
        <v>1.3297359375000002</v>
      </c>
      <c r="S7" s="20">
        <f>Inputs!V28</f>
        <v>1.3377353846153852</v>
      </c>
      <c r="T7" s="20">
        <f>Inputs!W28</f>
        <v>1.3203575757575758</v>
      </c>
      <c r="U7" s="20">
        <f>Inputs!X28</f>
        <v>1.3200092999999999</v>
      </c>
      <c r="V7" s="20">
        <f>Inputs!Y28</f>
        <v>1.3416946666666665</v>
      </c>
      <c r="W7" s="20">
        <f>Inputs!Z28</f>
        <v>1.3868020000000001</v>
      </c>
      <c r="X7" s="20">
        <f>Inputs!AA28</f>
        <v>1.3448500000000001</v>
      </c>
      <c r="Y7" s="20">
        <f>Inputs!AB28</f>
        <v>1.3321000000000001</v>
      </c>
      <c r="Z7" s="20">
        <f>Inputs!AC28</f>
        <v>1.2942499999999999</v>
      </c>
      <c r="AA7" s="20">
        <f>Inputs!AD28</f>
        <v>1.248</v>
      </c>
      <c r="AB7" s="20">
        <f>Inputs!AE28</f>
        <v>1.254</v>
      </c>
      <c r="AC7" s="20">
        <f>Inputs!AF28</f>
        <v>0</v>
      </c>
    </row>
    <row r="8" spans="1:29" x14ac:dyDescent="0.3">
      <c r="A8" s="85" t="s">
        <v>615</v>
      </c>
      <c r="B8" s="58">
        <f>'Interim Inc Statement Reported'!B8/'Interim Inc Statement US$'!B$7</f>
        <v>2249.8041717474343</v>
      </c>
      <c r="C8" s="58">
        <f>'Interim Inc Statement Reported'!C8/'Interim Inc Statement US$'!C$7</f>
        <v>2506.363495897273</v>
      </c>
      <c r="D8" s="58">
        <f>'Interim Inc Statement Reported'!D8/'Interim Inc Statement US$'!D$7</f>
        <v>2844.0879554865028</v>
      </c>
      <c r="E8" s="58">
        <f>'Interim Inc Statement Reported'!E8/'Interim Inc Statement US$'!E$7</f>
        <v>2125.0449586380532</v>
      </c>
      <c r="F8" s="58">
        <f>'Interim Inc Statement Reported'!F8/'Interim Inc Statement US$'!F$7</f>
        <v>2084.2581743819637</v>
      </c>
      <c r="G8" s="58">
        <f>'Interim Inc Statement Reported'!G8/'Interim Inc Statement US$'!G$7</f>
        <v>2438.456704398222</v>
      </c>
      <c r="H8" s="58">
        <f>'Interim Inc Statement Reported'!H8/'Interim Inc Statement US$'!H$7</f>
        <v>3149.811671026489</v>
      </c>
      <c r="I8" s="58">
        <f>'Interim Inc Statement Reported'!I8/'Interim Inc Statement US$'!I$7</f>
        <v>2274.2600224803296</v>
      </c>
      <c r="J8" s="58">
        <f>'Interim Inc Statement Reported'!J8/'Interim Inc Statement US$'!J$7</f>
        <v>2338.1077569274471</v>
      </c>
      <c r="K8" s="58">
        <f>'Interim Inc Statement Reported'!K8/'Interim Inc Statement US$'!K$7</f>
        <v>2610.9873793615443</v>
      </c>
      <c r="L8" s="58">
        <f>'Interim Inc Statement Reported'!L8/'Interim Inc Statement US$'!L$7</f>
        <v>3571.4855401891818</v>
      </c>
      <c r="M8" s="58">
        <f>'Interim Inc Statement Reported'!M8/'Interim Inc Statement US$'!M$7</f>
        <v>2661.2730370591034</v>
      </c>
      <c r="N8" s="58">
        <f>'Interim Inc Statement Reported'!N8/'Interim Inc Statement US$'!N$7</f>
        <v>2760.0903318471674</v>
      </c>
      <c r="O8" s="58">
        <f>'Interim Inc Statement Reported'!O8/'Interim Inc Statement US$'!O$7</f>
        <v>3037.7071875061456</v>
      </c>
      <c r="P8" s="58">
        <f>'Interim Inc Statement Reported'!P8/'Interim Inc Statement US$'!P$7</f>
        <v>3839.0560185327404</v>
      </c>
      <c r="Q8" s="58">
        <f>'Interim Inc Statement Reported'!Q8/'Interim Inc Statement US$'!Q$7</f>
        <v>2873.2586311326472</v>
      </c>
      <c r="R8" s="58">
        <f>'Interim Inc Statement Reported'!R8/'Interim Inc Statement US$'!R$7</f>
        <v>2869.7427003246648</v>
      </c>
      <c r="S8" s="58">
        <f>'Interim Inc Statement Reported'!S8/'Interim Inc Statement US$'!S$7</f>
        <v>3242.7937915742777</v>
      </c>
      <c r="T8" s="58">
        <f>'Interim Inc Statement Reported'!T8/'Interim Inc Statement US$'!T$7</f>
        <v>3911.0617417687586</v>
      </c>
      <c r="U8" s="58">
        <f>'Interim Inc Statement Reported'!U8/'Interim Inc Statement US$'!U$7</f>
        <v>2965.1306244584794</v>
      </c>
      <c r="V8" s="58">
        <f>'Interim Inc Statement Reported'!V8/'Interim Inc Statement US$'!V$7</f>
        <v>2379.8261104612975</v>
      </c>
      <c r="W8" s="58">
        <f>'Interim Inc Statement Reported'!W8/'Interim Inc Statement US$'!W$7</f>
        <v>149.26427853435456</v>
      </c>
      <c r="X8" s="58">
        <f>'Interim Inc Statement Reported'!X8/'Interim Inc Statement US$'!X$7</f>
        <v>376.99371677138714</v>
      </c>
      <c r="Y8" s="58">
        <f>'Interim Inc Statement Reported'!Y8/'Interim Inc Statement US$'!Y$7</f>
        <v>356.57983634862245</v>
      </c>
      <c r="Z8" s="58">
        <f>'Interim Inc Statement Reported'!Z8/'Interim Inc Statement US$'!Z$7</f>
        <v>305.19605949391541</v>
      </c>
      <c r="AA8" s="58">
        <f>'Interim Inc Statement Reported'!AA8/'Interim Inc Statement US$'!AA$7</f>
        <v>341.34615384615387</v>
      </c>
      <c r="AB8" s="58">
        <f>'Interim Inc Statement Reported'!AB8/'Interim Inc Statement US$'!AB$7</f>
        <v>1304.6251993620415</v>
      </c>
      <c r="AC8" s="58" t="e">
        <f>'Interim Inc Statement Reported'!AC8/'Interim Inc Statement US$'!AC$7</f>
        <v>#DIV/0!</v>
      </c>
    </row>
    <row r="9" spans="1:29" x14ac:dyDescent="0.3">
      <c r="A9" s="85" t="s">
        <v>614</v>
      </c>
      <c r="B9" s="58"/>
      <c r="C9" s="58"/>
      <c r="D9" s="58"/>
      <c r="E9" s="58"/>
      <c r="F9" s="58"/>
      <c r="G9" s="58">
        <f>'Interim Inc Statement Reported'!G9/'Interim Inc Statement US$'!G$7</f>
        <v>0</v>
      </c>
      <c r="H9" s="58">
        <f>'Interim Inc Statement Reported'!H9/'Interim Inc Statement US$'!H$7</f>
        <v>0</v>
      </c>
      <c r="I9" s="58">
        <f>'Interim Inc Statement Reported'!I9/'Interim Inc Statement US$'!I$7</f>
        <v>0</v>
      </c>
      <c r="J9" s="58">
        <f>'Interim Inc Statement Reported'!J9/'Interim Inc Statement US$'!J$7</f>
        <v>0</v>
      </c>
      <c r="K9" s="58">
        <f>'Interim Inc Statement Reported'!K9/'Interim Inc Statement US$'!K$7</f>
        <v>0</v>
      </c>
      <c r="L9" s="58">
        <f>'Interim Inc Statement Reported'!L9/'Interim Inc Statement US$'!L$7</f>
        <v>0</v>
      </c>
      <c r="M9" s="58">
        <f>'Interim Inc Statement Reported'!M9/'Interim Inc Statement US$'!M$7</f>
        <v>0</v>
      </c>
      <c r="N9" s="58">
        <f>'Interim Inc Statement Reported'!N9/'Interim Inc Statement US$'!N$7</f>
        <v>0</v>
      </c>
      <c r="O9" s="58">
        <f>'Interim Inc Statement Reported'!O9/'Interim Inc Statement US$'!O$7</f>
        <v>0</v>
      </c>
      <c r="P9" s="58">
        <f>'Interim Inc Statement Reported'!P9/'Interim Inc Statement US$'!P$7</f>
        <v>0</v>
      </c>
      <c r="Q9" s="58">
        <f>'Interim Inc Statement Reported'!Q9/'Interim Inc Statement US$'!Q$7</f>
        <v>0</v>
      </c>
      <c r="R9" s="58">
        <f>'Interim Inc Statement Reported'!R9/'Interim Inc Statement US$'!R$7</f>
        <v>0</v>
      </c>
      <c r="S9" s="58">
        <f>'Interim Inc Statement Reported'!S9/'Interim Inc Statement US$'!S$7</f>
        <v>0</v>
      </c>
      <c r="T9" s="58">
        <f>'Interim Inc Statement Reported'!T9/'Interim Inc Statement US$'!T$7</f>
        <v>0</v>
      </c>
      <c r="U9" s="58">
        <f>'Interim Inc Statement Reported'!U9/'Interim Inc Statement US$'!U$7</f>
        <v>0</v>
      </c>
      <c r="V9" s="58">
        <f>'Interim Inc Statement Reported'!V9/'Interim Inc Statement US$'!V$7</f>
        <v>0</v>
      </c>
      <c r="W9" s="58">
        <f>'Interim Inc Statement Reported'!W9/'Interim Inc Statement US$'!W$7</f>
        <v>0</v>
      </c>
      <c r="X9" s="58">
        <f>'Interim Inc Statement Reported'!X9/'Interim Inc Statement US$'!X$7</f>
        <v>0</v>
      </c>
      <c r="Y9" s="58">
        <f>'Interim Inc Statement Reported'!Y9/'Interim Inc Statement US$'!Y$7</f>
        <v>0</v>
      </c>
      <c r="Z9" s="58">
        <f>'Interim Inc Statement Reported'!Z9/'Interim Inc Statement US$'!Z$7</f>
        <v>0</v>
      </c>
      <c r="AA9" s="58">
        <f>'Interim Inc Statement Reported'!AA9/'Interim Inc Statement US$'!AA$7</f>
        <v>0</v>
      </c>
      <c r="AB9" s="58">
        <f>'Interim Inc Statement Reported'!AB9/'Interim Inc Statement US$'!AB$7</f>
        <v>0</v>
      </c>
      <c r="AC9" s="58" t="e">
        <f>'Interim Inc Statement Reported'!AC9/'Interim Inc Statement US$'!AC$7</f>
        <v>#DIV/0!</v>
      </c>
    </row>
    <row r="10" spans="1:29" x14ac:dyDescent="0.3">
      <c r="A10" s="31" t="s">
        <v>12</v>
      </c>
      <c r="B10" s="58">
        <f>'Interim Inc Statement Reported'!B10/'Interim Inc Statement US$'!B$7</f>
        <v>104.17255497323008</v>
      </c>
      <c r="C10" s="58">
        <f>'Interim Inc Statement Reported'!C10/'Interim Inc Statement US$'!C$7</f>
        <v>100.02683646832077</v>
      </c>
      <c r="D10" s="58">
        <f>'Interim Inc Statement Reported'!D10/'Interim Inc Statement US$'!D$7</f>
        <v>91.078166497011253</v>
      </c>
      <c r="E10" s="58">
        <f>'Interim Inc Statement Reported'!E10/'Interim Inc Statement US$'!E$7</f>
        <v>101.15693561923031</v>
      </c>
      <c r="F10" s="58">
        <f>'Interim Inc Statement Reported'!F10/'Interim Inc Statement US$'!F$7</f>
        <v>84.418278012677305</v>
      </c>
      <c r="G10" s="58">
        <f>'Interim Inc Statement Reported'!G10/'Interim Inc Statement US$'!G$7</f>
        <v>86.117942789755844</v>
      </c>
      <c r="H10" s="58">
        <f>'Interim Inc Statement Reported'!H10/'Interim Inc Statement US$'!H$7</f>
        <v>99.726136686177199</v>
      </c>
      <c r="I10" s="58">
        <f>'Interim Inc Statement Reported'!I10/'Interim Inc Statement US$'!I$7</f>
        <v>116.14837017609591</v>
      </c>
      <c r="J10" s="58">
        <f>'Interim Inc Statement Reported'!J10/'Interim Inc Statement US$'!J$7</f>
        <v>101.22986734354697</v>
      </c>
      <c r="K10" s="58">
        <f>'Interim Inc Statement Reported'!K10/'Interim Inc Statement US$'!K$7</f>
        <v>114.32813659985152</v>
      </c>
      <c r="L10" s="58">
        <f>'Interim Inc Statement Reported'!L10/'Interim Inc Statement US$'!L$7</f>
        <v>142.76371408974177</v>
      </c>
      <c r="M10" s="58">
        <f>'Interim Inc Statement Reported'!M10/'Interim Inc Statement US$'!M$7</f>
        <v>144.04405968110498</v>
      </c>
      <c r="N10" s="58">
        <f>'Interim Inc Statement Reported'!N10/'Interim Inc Statement US$'!N$7</f>
        <v>132.90202801671657</v>
      </c>
      <c r="O10" s="58">
        <f>'Interim Inc Statement Reported'!O10/'Interim Inc Statement US$'!O$7</f>
        <v>154.94553366519486</v>
      </c>
      <c r="P10" s="58">
        <f>'Interim Inc Statement Reported'!P10/'Interim Inc Statement US$'!P$7</f>
        <v>166.78242567559533</v>
      </c>
      <c r="Q10" s="58">
        <f>'Interim Inc Statement Reported'!Q10/'Interim Inc Statement US$'!Q$7</f>
        <v>164.2943670502726</v>
      </c>
      <c r="R10" s="58">
        <f>'Interim Inc Statement Reported'!R10/'Interim Inc Statement US$'!R$7</f>
        <v>133.10913468487044</v>
      </c>
      <c r="S10" s="58">
        <f>'Interim Inc Statement Reported'!S10/'Interim Inc Statement US$'!S$7</f>
        <v>132.31316300337647</v>
      </c>
      <c r="T10" s="58">
        <f>'Interim Inc Statement Reported'!T10/'Interim Inc Statement US$'!T$7</f>
        <v>134.05459494443653</v>
      </c>
      <c r="U10" s="58">
        <f>'Interim Inc Statement Reported'!U10/'Interim Inc Statement US$'!U$7</f>
        <v>140.90809814749034</v>
      </c>
      <c r="V10" s="58">
        <f>'Interim Inc Statement Reported'!V10/'Interim Inc Statement US$'!V$7</f>
        <v>111.05358298112537</v>
      </c>
      <c r="W10" s="58">
        <f>'Interim Inc Statement Reported'!W10/'Interim Inc Statement US$'!W$7</f>
        <v>193.97145374754288</v>
      </c>
      <c r="X10" s="58">
        <f>'Interim Inc Statement Reported'!X10/'Interim Inc Statement US$'!X$7</f>
        <v>160.61270773692232</v>
      </c>
      <c r="Y10" s="58">
        <f>'Interim Inc Statement Reported'!Y10/'Interim Inc Statement US$'!Y$7</f>
        <v>214.69859620148637</v>
      </c>
      <c r="Z10" s="58">
        <f>'Interim Inc Statement Reported'!Z10/'Interim Inc Statement US$'!Z$7</f>
        <v>217.11415877921578</v>
      </c>
      <c r="AA10" s="58">
        <f>'Interim Inc Statement Reported'!AA10/'Interim Inc Statement US$'!AA$7</f>
        <v>286.85897435897436</v>
      </c>
      <c r="AB10" s="58">
        <f>'Interim Inc Statement Reported'!AB10/'Interim Inc Statement US$'!AB$7</f>
        <v>291.86602870813397</v>
      </c>
      <c r="AC10" s="58" t="e">
        <f>'Interim Inc Statement Reported'!AC10/'Interim Inc Statement US$'!AC$7</f>
        <v>#DIV/0!</v>
      </c>
    </row>
    <row r="11" spans="1:29" x14ac:dyDescent="0.3">
      <c r="A11" s="31" t="s">
        <v>13</v>
      </c>
      <c r="B11" s="59">
        <f>'Interim Inc Statement Reported'!B11/'Interim Inc Statement US$'!B$7</f>
        <v>269.71808807022364</v>
      </c>
      <c r="C11" s="59">
        <f>'Interim Inc Statement Reported'!C11/'Interim Inc Statement US$'!C$7</f>
        <v>169.96429936487024</v>
      </c>
      <c r="D11" s="59">
        <f>'Interim Inc Statement Reported'!D11/'Interim Inc Statement US$'!D$7</f>
        <v>143.88819581040434</v>
      </c>
      <c r="E11" s="59">
        <f>'Interim Inc Statement Reported'!E11/'Interim Inc Statement US$'!E$7</f>
        <v>158.10454381968589</v>
      </c>
      <c r="F11" s="59">
        <f>'Interim Inc Statement Reported'!F11/'Interim Inc Statement US$'!F$7</f>
        <v>264.17099067760222</v>
      </c>
      <c r="G11" s="59">
        <f>'Interim Inc Statement Reported'!G11/'Interim Inc Statement US$'!G$7</f>
        <v>158.27081377576752</v>
      </c>
      <c r="H11" s="59">
        <f>'Interim Inc Statement Reported'!H11/'Interim Inc Statement US$'!H$7</f>
        <v>164.93168759636998</v>
      </c>
      <c r="I11" s="59">
        <f>'Interim Inc Statement Reported'!I11/'Interim Inc Statement US$'!I$7</f>
        <v>176.09591607343575</v>
      </c>
      <c r="J11" s="59">
        <f>'Interim Inc Statement Reported'!J11/'Interim Inc Statement US$'!J$7</f>
        <v>311.99951651406644</v>
      </c>
      <c r="K11" s="59">
        <f>'Interim Inc Statement Reported'!K11/'Interim Inc Statement US$'!K$7</f>
        <v>177.43132887899034</v>
      </c>
      <c r="L11" s="59">
        <f>'Interim Inc Statement Reported'!L11/'Interim Inc Statement US$'!L$7</f>
        <v>177.85647062576766</v>
      </c>
      <c r="M11" s="59">
        <f>'Interim Inc Statement Reported'!M11/'Interim Inc Statement US$'!M$7</f>
        <v>201.50425835170969</v>
      </c>
      <c r="N11" s="59">
        <f>'Interim Inc Statement Reported'!N11/'Interim Inc Statement US$'!N$7</f>
        <v>327.50856904119439</v>
      </c>
      <c r="O11" s="59">
        <f>'Interim Inc Statement Reported'!O11/'Interim Inc Statement US$'!O$7</f>
        <v>164.24226568510656</v>
      </c>
      <c r="P11" s="59">
        <f>'Interim Inc Statement Reported'!P11/'Interim Inc Statement US$'!P$7</f>
        <v>136.94520273363102</v>
      </c>
      <c r="Q11" s="59">
        <f>'Interim Inc Statement Reported'!Q11/'Interim Inc Statement US$'!Q$7</f>
        <v>177.16535433070868</v>
      </c>
      <c r="R11" s="59">
        <f>'Interim Inc Statement Reported'!R11/'Interim Inc Statement US$'!R$7</f>
        <v>345.93334437875939</v>
      </c>
      <c r="S11" s="59">
        <f>'Interim Inc Statement Reported'!S11/'Interim Inc Statement US$'!S$7</f>
        <v>180.90274263738479</v>
      </c>
      <c r="T11" s="59">
        <f>'Interim Inc Statement Reported'!T11/'Interim Inc Statement US$'!T$7</f>
        <v>160.56256569616127</v>
      </c>
      <c r="U11" s="59">
        <f>'Interim Inc Statement Reported'!U11/'Interim Inc Statement US$'!U$7</f>
        <v>203.02887259960971</v>
      </c>
      <c r="V11" s="59">
        <f>'Interim Inc Statement Reported'!V11/'Interim Inc Statement US$'!V$7</f>
        <v>283.22390290488352</v>
      </c>
      <c r="W11" s="59">
        <f>'Interim Inc Statement Reported'!W11/'Interim Inc Statement US$'!W$7</f>
        <v>36.775257030203299</v>
      </c>
      <c r="X11" s="59">
        <f>'Interim Inc Statement Reported'!X11/'Interim Inc Statement US$'!X$7</f>
        <v>25.281629921552586</v>
      </c>
      <c r="Y11" s="59">
        <f>'Interim Inc Statement Reported'!Y11/'Interim Inc Statement US$'!Y$7</f>
        <v>49.545829892650701</v>
      </c>
      <c r="Z11" s="59">
        <f>'Interim Inc Statement Reported'!Z11/'Interim Inc Statement US$'!Z$7</f>
        <v>40.9503573498165</v>
      </c>
      <c r="AA11" s="59">
        <f>'Interim Inc Statement Reported'!AA11/'Interim Inc Statement US$'!AA$7</f>
        <v>42.467948717948715</v>
      </c>
      <c r="AB11" s="59">
        <f>'Interim Inc Statement Reported'!AB11/'Interim Inc Statement US$'!AB$7</f>
        <v>80.54226475279107</v>
      </c>
      <c r="AC11" s="59" t="e">
        <f>'Interim Inc Statement Reported'!AC11/'Interim Inc Statement US$'!AC$7</f>
        <v>#DIV/0!</v>
      </c>
    </row>
    <row r="12" spans="1:29" x14ac:dyDescent="0.3">
      <c r="A12" s="48" t="s">
        <v>5</v>
      </c>
      <c r="B12" s="73">
        <f t="shared" ref="B12:K12" si="0">B10+B11</f>
        <v>373.89064304345374</v>
      </c>
      <c r="C12" s="73">
        <f t="shared" si="0"/>
        <v>269.99113583319104</v>
      </c>
      <c r="D12" s="73">
        <f t="shared" si="0"/>
        <v>234.96636230741558</v>
      </c>
      <c r="E12" s="73">
        <f t="shared" si="0"/>
        <v>259.26147943891618</v>
      </c>
      <c r="F12" s="73">
        <f t="shared" si="0"/>
        <v>348.58926869027954</v>
      </c>
      <c r="G12" s="73">
        <f t="shared" si="0"/>
        <v>244.38875656552335</v>
      </c>
      <c r="H12" s="73">
        <f t="shared" si="0"/>
        <v>264.65782428254715</v>
      </c>
      <c r="I12" s="73">
        <f t="shared" si="0"/>
        <v>292.24428624953168</v>
      </c>
      <c r="J12" s="73">
        <f t="shared" si="0"/>
        <v>413.22938385761341</v>
      </c>
      <c r="K12" s="73">
        <f t="shared" si="0"/>
        <v>291.75946547884189</v>
      </c>
      <c r="L12" s="73">
        <f t="shared" ref="L12:O12" si="1">L10+L11</f>
        <v>320.62018471550942</v>
      </c>
      <c r="M12" s="73">
        <f t="shared" si="1"/>
        <v>345.54831803281468</v>
      </c>
      <c r="N12" s="73">
        <f t="shared" si="1"/>
        <v>460.41059705791099</v>
      </c>
      <c r="O12" s="73">
        <f t="shared" si="1"/>
        <v>319.18779935030142</v>
      </c>
      <c r="P12" s="73">
        <f t="shared" ref="P12:R12" si="2">P10+P11</f>
        <v>303.72762840922633</v>
      </c>
      <c r="Q12" s="73">
        <f t="shared" si="2"/>
        <v>341.45972138098125</v>
      </c>
      <c r="R12" s="73">
        <f t="shared" si="2"/>
        <v>479.0424790636298</v>
      </c>
      <c r="S12" s="73">
        <f t="shared" ref="S12:U12" si="3">S10+S11</f>
        <v>313.21590564076126</v>
      </c>
      <c r="T12" s="73">
        <f t="shared" si="3"/>
        <v>294.61716064059783</v>
      </c>
      <c r="U12" s="73">
        <f t="shared" si="3"/>
        <v>343.93697074710008</v>
      </c>
      <c r="V12" s="73">
        <f t="shared" ref="V12:Y12" si="4">V10+V11</f>
        <v>394.27748588600889</v>
      </c>
      <c r="W12" s="73">
        <f t="shared" si="4"/>
        <v>230.74671077774619</v>
      </c>
      <c r="X12" s="73">
        <f t="shared" si="4"/>
        <v>185.89433765847491</v>
      </c>
      <c r="Y12" s="73">
        <f t="shared" si="4"/>
        <v>264.24442609413705</v>
      </c>
      <c r="Z12" s="73">
        <f t="shared" ref="Z12:AA12" si="5">Z10+Z11</f>
        <v>258.06451612903231</v>
      </c>
      <c r="AA12" s="73">
        <f t="shared" si="5"/>
        <v>329.32692307692309</v>
      </c>
      <c r="AB12" s="73">
        <f t="shared" ref="AB12:AC12" si="6">AB10+AB11</f>
        <v>372.40829346092505</v>
      </c>
      <c r="AC12" s="73" t="e">
        <f t="shared" si="6"/>
        <v>#DIV/0!</v>
      </c>
    </row>
    <row r="13" spans="1:29" x14ac:dyDescent="0.3">
      <c r="A13" s="14" t="s">
        <v>14</v>
      </c>
      <c r="B13" s="74">
        <f t="shared" ref="B13:R13" si="7">SUM(B8:B11)</f>
        <v>2623.6948147908879</v>
      </c>
      <c r="C13" s="74">
        <f t="shared" si="7"/>
        <v>2776.354631730464</v>
      </c>
      <c r="D13" s="74">
        <f t="shared" si="7"/>
        <v>3079.0543177939185</v>
      </c>
      <c r="E13" s="74">
        <f t="shared" si="7"/>
        <v>2384.3064380769692</v>
      </c>
      <c r="F13" s="74">
        <f t="shared" si="7"/>
        <v>2432.8474430722431</v>
      </c>
      <c r="G13" s="74">
        <f t="shared" si="7"/>
        <v>2682.8454609637456</v>
      </c>
      <c r="H13" s="74">
        <f t="shared" si="7"/>
        <v>3414.4694953090361</v>
      </c>
      <c r="I13" s="74">
        <f t="shared" si="7"/>
        <v>2566.5043087298609</v>
      </c>
      <c r="J13" s="74">
        <f t="shared" si="7"/>
        <v>2751.3371407850605</v>
      </c>
      <c r="K13" s="74">
        <f t="shared" si="7"/>
        <v>2902.7468448403861</v>
      </c>
      <c r="L13" s="74">
        <f t="shared" si="7"/>
        <v>3892.1057249046912</v>
      </c>
      <c r="M13" s="74">
        <f t="shared" si="7"/>
        <v>3006.8213550919181</v>
      </c>
      <c r="N13" s="74">
        <f t="shared" si="7"/>
        <v>3220.5009289050781</v>
      </c>
      <c r="O13" s="74">
        <f t="shared" si="7"/>
        <v>3356.8949868564473</v>
      </c>
      <c r="P13" s="74">
        <f t="shared" si="7"/>
        <v>4142.7836469419663</v>
      </c>
      <c r="Q13" s="74">
        <f t="shared" si="7"/>
        <v>3214.7183525136288</v>
      </c>
      <c r="R13" s="74">
        <f t="shared" si="7"/>
        <v>3348.7851793882946</v>
      </c>
      <c r="S13" s="74">
        <f t="shared" ref="S13:U13" si="8">SUM(S8:S11)</f>
        <v>3556.0096972150386</v>
      </c>
      <c r="T13" s="74">
        <f t="shared" si="8"/>
        <v>4205.6789024093559</v>
      </c>
      <c r="U13" s="74">
        <f t="shared" si="8"/>
        <v>3309.0675952055794</v>
      </c>
      <c r="V13" s="74">
        <f t="shared" ref="V13:Y13" si="9">SUM(V8:V11)</f>
        <v>2774.1035963473059</v>
      </c>
      <c r="W13" s="74">
        <f t="shared" si="9"/>
        <v>380.01098931210072</v>
      </c>
      <c r="X13" s="74">
        <f t="shared" si="9"/>
        <v>562.88805442986211</v>
      </c>
      <c r="Y13" s="74">
        <f t="shared" si="9"/>
        <v>620.8242624427595</v>
      </c>
      <c r="Z13" s="74">
        <f t="shared" ref="Z13:AA13" si="10">SUM(Z8:Z11)</f>
        <v>563.26057562294773</v>
      </c>
      <c r="AA13" s="74">
        <f t="shared" si="10"/>
        <v>670.67307692307691</v>
      </c>
      <c r="AB13" s="74">
        <f t="shared" ref="AB13:AC13" si="11">SUM(AB8:AB11)</f>
        <v>1677.0334928229665</v>
      </c>
      <c r="AC13" s="74" t="e">
        <f t="shared" si="11"/>
        <v>#DIV/0!</v>
      </c>
    </row>
    <row r="14" spans="1:29" x14ac:dyDescent="0.3">
      <c r="A14" s="31" t="s">
        <v>0</v>
      </c>
      <c r="B14" s="71"/>
      <c r="C14" s="2" t="str">
        <f ca="1">IFERROR(IF(Inputs!$E$14 = "Semi-annual",(C13/OFFSET(C13,0,-2,,))-1,(C13/OFFSET(C13,0,-4,,))-1),"")</f>
        <v/>
      </c>
      <c r="D14" s="2" t="str">
        <f ca="1">IFERROR(IF(Inputs!$E$14 = "Semi-annual",(D13/OFFSET(D13,0,-2,,))-1,(D13/OFFSET(D13,0,-4,,))-1),"")</f>
        <v/>
      </c>
      <c r="E14" s="2" t="str">
        <f ca="1">IFERROR(IF(Inputs!$E$14 = "Semi-annual",(E13/OFFSET(E13,0,-2,,))-1,(E13/OFFSET(E13,0,-4,,))-1),"")</f>
        <v/>
      </c>
      <c r="F14" s="2">
        <f ca="1">IFERROR(IF(Inputs!$E$14 = "Semi-annual",(F13/OFFSET(F13,0,-2,,))-1,(F13/OFFSET(F13,0,-4,,))-1),"")</f>
        <v>-7.2739927922545244E-2</v>
      </c>
      <c r="G14" s="2">
        <f ca="1">IFERROR(IF(Inputs!$E$14 = "Semi-annual",(G13/OFFSET(G13,0,-2,,))-1,(G13/OFFSET(G13,0,-4,,))-1),"")</f>
        <v>-3.3680557122645172E-2</v>
      </c>
      <c r="H14" s="2">
        <f ca="1">IFERROR(IF(Inputs!$E$14 = "Semi-annual",(H13/OFFSET(H13,0,-2,,))-1,(H13/OFFSET(H13,0,-4,,))-1),"")</f>
        <v>0.1089344788679909</v>
      </c>
      <c r="I14" s="2">
        <f ca="1">IFERROR(IF(Inputs!$E$14 = "Semi-annual",(I13/OFFSET(I13,0,-2,,))-1,(I13/OFFSET(I13,0,-4,,))-1),"")</f>
        <v>7.6415458912169498E-2</v>
      </c>
      <c r="J14" s="2">
        <f ca="1">IFERROR(IF(Inputs!$E$14 = "Semi-annual",(J13/OFFSET(J13,0,-2,,))-1,(J13/OFFSET(J13,0,-4,,))-1),"")</f>
        <v>0.13091231783552493</v>
      </c>
      <c r="K14" s="2">
        <f ca="1">IFERROR(IF(Inputs!$E$14 = "Semi-annual",(K13/OFFSET(K13,0,-2,,))-1,(K13/OFFSET(K13,0,-4,,))-1),"")</f>
        <v>8.1965728953186323E-2</v>
      </c>
      <c r="L14" s="2">
        <f ca="1">IFERROR(IF(Inputs!$E$14 = "Semi-annual",(L13/OFFSET(L13,0,-2,,))-1,(L13/OFFSET(L13,0,-4,,))-1),"")</f>
        <v>0.13988592671624533</v>
      </c>
      <c r="M14" s="2">
        <f ca="1">IFERROR(IF(Inputs!$E$14 = "Semi-annual",(M13/OFFSET(M13,0,-2,,))-1,(M13/OFFSET(M13,0,-4,,))-1),"")</f>
        <v>0.17156294842924535</v>
      </c>
      <c r="N14" s="2">
        <f ca="1">IFERROR(IF(Inputs!$E$14 = "Semi-annual",(N13/OFFSET(N13,0,-2,,))-1,(N13/OFFSET(N13,0,-4,,))-1),"")</f>
        <v>0.17052210038721305</v>
      </c>
      <c r="O14" s="2">
        <f ca="1">IFERROR(IF(Inputs!$E$14 = "Semi-annual",(O13/OFFSET(O13,0,-2,,))-1,(O13/OFFSET(O13,0,-4,,))-1),"")</f>
        <v>0.15645461567663288</v>
      </c>
      <c r="P14" s="2">
        <f ca="1">IFERROR(IF(Inputs!$E$14 = "Semi-annual",(P13/OFFSET(P13,0,-2,,))-1,(P13/OFFSET(P13,0,-4,,))-1),"")</f>
        <v>6.4406760698519694E-2</v>
      </c>
      <c r="Q14" s="2">
        <f ca="1">IFERROR(IF(Inputs!$E$14 = "Semi-annual",(Q13/OFFSET(Q13,0,-2,,))-1,(Q13/OFFSET(Q13,0,-4,,))-1),"")</f>
        <v>6.91417855835188E-2</v>
      </c>
      <c r="R14" s="2">
        <f ca="1">IFERROR(IF(Inputs!$E$14 = "Semi-annual",(R13/OFFSET(R13,0,-2,,))-1,(R13/OFFSET(R13,0,-4,,))-1),"")</f>
        <v>3.9833632504751693E-2</v>
      </c>
      <c r="S14" s="2">
        <f ca="1">IFERROR(IF(Inputs!$E$14 = "Semi-annual",(S13/OFFSET(S13,0,-2,,))-1,(S13/OFFSET(S13,0,-4,,))-1),"")</f>
        <v>5.9315144244369566E-2</v>
      </c>
      <c r="T14" s="2">
        <f ca="1">IFERROR(IF(Inputs!$E$14 = "Semi-annual",(T13/OFFSET(T13,0,-2,,))-1,(T13/OFFSET(T13,0,-4,,))-1),"")</f>
        <v>1.5181882721251094E-2</v>
      </c>
      <c r="U14" s="2">
        <f ca="1">IFERROR(IF(Inputs!$E$14 = "Semi-annual",(U13/OFFSET(U13,0,-2,,))-1,(U13/OFFSET(U13,0,-4,,))-1),"")</f>
        <v>2.9349147373416873E-2</v>
      </c>
      <c r="V14" s="2">
        <f ca="1">IFERROR(IF(Inputs!$E$14 = "Semi-annual",(V13/OFFSET(V13,0,-2,,))-1,(V13/OFFSET(V13,0,-4,,))-1),"")</f>
        <v>-0.17160897228587313</v>
      </c>
      <c r="W14" s="2">
        <f ca="1">IFERROR(IF(Inputs!$E$14 = "Semi-annual",(W13/OFFSET(W13,0,-2,,))-1,(W13/OFFSET(W13,0,-4,,))-1),"")</f>
        <v>-0.89313555876697581</v>
      </c>
      <c r="X14" s="2">
        <f ca="1">IFERROR(IF(Inputs!$E$14 = "Semi-annual",(X13/OFFSET(X13,0,-2,,))-1,(X13/OFFSET(X13,0,-4,,))-1),"")</f>
        <v>-0.86616000234649537</v>
      </c>
      <c r="Y14" s="2">
        <f ca="1">IFERROR(IF(Inputs!$E$14 = "Semi-annual",(Y13/OFFSET(Y13,0,-2,,))-1,(Y13/OFFSET(Y13,0,-4,,))-1),"")</f>
        <v>-0.81238695052882703</v>
      </c>
      <c r="Z14" s="2">
        <f ca="1">IFERROR(IF(Inputs!$E$14 = "Semi-annual",(Z13/OFFSET(Z13,0,-2,,))-1,(Z13/OFFSET(Z13,0,-4,,))-1),"")</f>
        <v>-0.79695762755053579</v>
      </c>
      <c r="AA14" s="2">
        <f ca="1">IFERROR(IF(Inputs!$E$14 = "Semi-annual",(AA13/OFFSET(AA13,0,-2,,))-1,(AA13/OFFSET(AA13,0,-4,,))-1),"")</f>
        <v>0.7648781108597289</v>
      </c>
      <c r="AB14" s="2">
        <f ca="1">IFERROR(IF(Inputs!$E$14 = "Semi-annual",(AB13/OFFSET(AB13,0,-2,,))-1,(AB13/OFFSET(AB13,0,-4,,))-1),"")</f>
        <v>1.9793375070316599</v>
      </c>
      <c r="AC14" s="2" t="str">
        <f ca="1">IFERROR(IF(Inputs!$E$14 = "Semi-annual",(AC13/OFFSET(AC13,0,-2,,))-1,(AC13/OFFSET(AC13,0,-4,,))-1),"")</f>
        <v/>
      </c>
    </row>
    <row r="15" spans="1:29" x14ac:dyDescent="0.3">
      <c r="A15" s="31" t="s">
        <v>15</v>
      </c>
      <c r="B15" s="58">
        <f>'Interim Inc Statement Reported'!B15/'Interim Inc Statement US$'!B$7</f>
        <v>-458.68225755654794</v>
      </c>
      <c r="C15" s="58">
        <f>'Interim Inc Statement Reported'!C15/'Interim Inc Statement US$'!C$7</f>
        <v>-461.91254564232679</v>
      </c>
      <c r="D15" s="58">
        <f>'Interim Inc Statement Reported'!D15/'Interim Inc Statement US$'!D$7</f>
        <v>-457.68692071607336</v>
      </c>
      <c r="E15" s="58">
        <f>'Interim Inc Statement Reported'!E15/'Interim Inc Statement US$'!E$7</f>
        <v>-442.09327418774728</v>
      </c>
      <c r="F15" s="58">
        <f>'Interim Inc Statement Reported'!F15/'Interim Inc Statement US$'!F$7</f>
        <v>-442.46821579058445</v>
      </c>
      <c r="G15" s="58">
        <f>'Interim Inc Statement Reported'!G15/'Interim Inc Statement US$'!G$7</f>
        <v>-474.03660400487229</v>
      </c>
      <c r="H15" s="58">
        <f>'Interim Inc Statement Reported'!H15/'Interim Inc Statement US$'!H$7</f>
        <v>-504.76767645772765</v>
      </c>
      <c r="I15" s="58">
        <f>'Interim Inc Statement Reported'!I15/'Interim Inc Statement US$'!I$7</f>
        <v>-474.33495691270139</v>
      </c>
      <c r="J15" s="58">
        <f>'Interim Inc Statement Reported'!J15/'Interim Inc Statement US$'!J$7</f>
        <v>-486.50772066600189</v>
      </c>
      <c r="K15" s="58">
        <f>'Interim Inc Statement Reported'!K15/'Interim Inc Statement US$'!K$7</f>
        <v>-492.20489977728283</v>
      </c>
      <c r="L15" s="58">
        <f>'Interim Inc Statement Reported'!L15/'Interim Inc Statement US$'!L$7</f>
        <v>-527.98647333748067</v>
      </c>
      <c r="M15" s="58">
        <f>'Interim Inc Statement Reported'!M15/'Interim Inc Statement US$'!M$7</f>
        <v>-552.56245844882892</v>
      </c>
      <c r="N15" s="58">
        <f>'Interim Inc Statement Reported'!N15/'Interim Inc Statement US$'!N$7</f>
        <v>-553.75845006965244</v>
      </c>
      <c r="O15" s="58">
        <f>'Interim Inc Statement Reported'!O15/'Interim Inc Statement US$'!O$7</f>
        <v>-550.83137217976775</v>
      </c>
      <c r="P15" s="58">
        <f>'Interim Inc Statement Reported'!P15/'Interim Inc Statement US$'!P$7</f>
        <v>-568.43734989434563</v>
      </c>
      <c r="Q15" s="58">
        <f>'Interim Inc Statement Reported'!Q15/'Interim Inc Statement US$'!Q$7</f>
        <v>-544.36705027256221</v>
      </c>
      <c r="R15" s="58">
        <f>'Interim Inc Statement Reported'!R15/'Interim Inc Statement US$'!R$7</f>
        <v>-600.87117860571459</v>
      </c>
      <c r="S15" s="58">
        <f>'Interim Inc Statement Reported'!S15/'Interim Inc Statement US$'!S$7</f>
        <v>-583.8224876024691</v>
      </c>
      <c r="T15" s="58">
        <f>'Interim Inc Statement Reported'!T15/'Interim Inc Statement US$'!T$7</f>
        <v>-596.80802721025987</v>
      </c>
      <c r="U15" s="58">
        <f>'Interim Inc Statement Reported'!U15/'Interim Inc Statement US$'!U$7</f>
        <v>-618.17746284060274</v>
      </c>
      <c r="V15" s="58">
        <f>'Interim Inc Statement Reported'!V15/'Interim Inc Statement US$'!V$7</f>
        <v>-593.27954397970336</v>
      </c>
      <c r="W15" s="58">
        <f>'Interim Inc Statement Reported'!W15/'Interim Inc Statement US$'!W$7</f>
        <v>-269.68521822149086</v>
      </c>
      <c r="X15" s="58">
        <f>'Interim Inc Statement Reported'!X15/'Interim Inc Statement US$'!X$7</f>
        <v>-212.6631222812953</v>
      </c>
      <c r="Y15" s="58">
        <f>'Interim Inc Statement Reported'!Y15/'Interim Inc Statement US$'!Y$7</f>
        <v>-269.49928684032727</v>
      </c>
      <c r="Z15" s="58">
        <f>'Interim Inc Statement Reported'!Z15/'Interim Inc Statement US$'!Z$7</f>
        <v>-283.5619084411822</v>
      </c>
      <c r="AA15" s="58">
        <f>'Interim Inc Statement Reported'!AA15/'Interim Inc Statement US$'!AA$7</f>
        <v>-451.92307692307691</v>
      </c>
      <c r="AB15" s="58">
        <f>'Interim Inc Statement Reported'!AB15/'Interim Inc Statement US$'!AB$7</f>
        <v>-399.52153110047846</v>
      </c>
      <c r="AC15" s="58" t="e">
        <f>'Interim Inc Statement Reported'!AC15/'Interim Inc Statement US$'!AC$7</f>
        <v>#DIV/0!</v>
      </c>
    </row>
    <row r="16" spans="1:29" x14ac:dyDescent="0.3">
      <c r="A16" s="31" t="s">
        <v>16</v>
      </c>
      <c r="B16" s="58">
        <f>'Interim Inc Statement Reported'!B16/'Interim Inc Statement US$'!B$7</f>
        <v>-478.06319801668377</v>
      </c>
      <c r="C16" s="58">
        <f>'Interim Inc Statement Reported'!C16/'Interim Inc Statement US$'!C$7</f>
        <v>-526.9706506623728</v>
      </c>
      <c r="D16" s="58">
        <f>'Interim Inc Statement Reported'!D16/'Interim Inc Statement US$'!D$7</f>
        <v>-533.45783233963732</v>
      </c>
      <c r="E16" s="58">
        <f>'Interim Inc Statement Reported'!E16/'Interim Inc Statement US$'!E$7</f>
        <v>-394.88670423210647</v>
      </c>
      <c r="F16" s="58">
        <f>'Interim Inc Statement Reported'!F16/'Interim Inc Statement US$'!F$7</f>
        <v>-324.57372408322482</v>
      </c>
      <c r="G16" s="58">
        <f>'Interim Inc Statement Reported'!G16/'Interim Inc Statement US$'!G$7</f>
        <v>-408.86626892073275</v>
      </c>
      <c r="H16" s="58">
        <f>'Interim Inc Statement Reported'!H16/'Interim Inc Statement US$'!H$7</f>
        <v>-543.12388287548811</v>
      </c>
      <c r="I16" s="58">
        <f>'Interim Inc Statement Reported'!I16/'Interim Inc Statement US$'!I$7</f>
        <v>-448.10790558261522</v>
      </c>
      <c r="J16" s="58">
        <f>'Interim Inc Statement Reported'!J16/'Interim Inc Statement US$'!J$7</f>
        <v>-497.83942223430938</v>
      </c>
      <c r="K16" s="58">
        <f>'Interim Inc Statement Reported'!K16/'Interim Inc Statement US$'!K$7</f>
        <v>-520.41573867854493</v>
      </c>
      <c r="L16" s="58">
        <f>'Interim Inc Statement Reported'!L16/'Interim Inc Statement US$'!L$7</f>
        <v>-750.5064522818268</v>
      </c>
      <c r="M16" s="58">
        <f>'Interim Inc Statement Reported'!M16/'Interim Inc Statement US$'!M$7</f>
        <v>-578.53761675197904</v>
      </c>
      <c r="N16" s="58">
        <f>'Interim Inc Statement Reported'!N16/'Interim Inc Statement US$'!N$7</f>
        <v>-652.64388758209031</v>
      </c>
      <c r="O16" s="58">
        <f>'Interim Inc Statement Reported'!O16/'Interim Inc Statement US$'!O$7</f>
        <v>-746.83747226623927</v>
      </c>
      <c r="P16" s="58">
        <f>'Interim Inc Statement Reported'!P16/'Interim Inc Statement US$'!P$7</f>
        <v>-1048.8931449598222</v>
      </c>
      <c r="Q16" s="58">
        <f>'Interim Inc Statement Reported'!Q16/'Interim Inc Statement US$'!Q$7</f>
        <v>-612.50757116898865</v>
      </c>
      <c r="R16" s="58">
        <f>'Interim Inc Statement Reported'!R16/'Interim Inc Statement US$'!R$7</f>
        <v>-662.53755738627603</v>
      </c>
      <c r="S16" s="58">
        <f>'Interim Inc Statement Reported'!S16/'Interim Inc Statement US$'!S$7</f>
        <v>-740.80420642003446</v>
      </c>
      <c r="T16" s="58">
        <f>'Interim Inc Statement Reported'!T16/'Interim Inc Statement US$'!T$7</f>
        <v>-827.80605804671825</v>
      </c>
      <c r="U16" s="58">
        <f>'Interim Inc Statement Reported'!U16/'Interim Inc Statement US$'!U$7</f>
        <v>-679.54066687257432</v>
      </c>
      <c r="V16" s="58">
        <f>'Interim Inc Statement Reported'!V16/'Interim Inc Statement US$'!V$7</f>
        <v>-623.09258639074369</v>
      </c>
      <c r="W16" s="58">
        <f>'Interim Inc Statement Reported'!W16/'Interim Inc Statement US$'!W$7</f>
        <v>-89.414350426376657</v>
      </c>
      <c r="X16" s="58">
        <f>'Interim Inc Statement Reported'!X16/'Interim Inc Statement US$'!X$7</f>
        <v>-130.12603636093243</v>
      </c>
      <c r="Y16" s="58">
        <f>'Interim Inc Statement Reported'!Y16/'Interim Inc Statement US$'!Y$7</f>
        <v>-140.37985136251032</v>
      </c>
      <c r="Z16" s="58">
        <f>'Interim Inc Statement Reported'!Z16/'Interim Inc Statement US$'!Z$7</f>
        <v>-154.52965037666604</v>
      </c>
      <c r="AA16" s="58">
        <f>'Interim Inc Statement Reported'!AA16/'Interim Inc Statement US$'!AA$7</f>
        <v>-191.50641025641025</v>
      </c>
      <c r="AB16" s="58">
        <f>'Interim Inc Statement Reported'!AB16/'Interim Inc Statement US$'!AB$7</f>
        <v>-376.39553429027114</v>
      </c>
      <c r="AC16" s="58" t="e">
        <f>'Interim Inc Statement Reported'!AC16/'Interim Inc Statement US$'!AC$7</f>
        <v>#DIV/0!</v>
      </c>
    </row>
    <row r="17" spans="1:29" x14ac:dyDescent="0.3">
      <c r="A17" s="31" t="s">
        <v>17</v>
      </c>
      <c r="B17" s="58">
        <f>'Interim Inc Statement Reported'!B17/'Interim Inc Statement US$'!B$7</f>
        <v>-151.81736693773067</v>
      </c>
      <c r="C17" s="58">
        <f>'Interim Inc Statement Reported'!C17/'Interim Inc Statement US$'!C$7</f>
        <v>-154.51299942260931</v>
      </c>
      <c r="D17" s="58">
        <f>'Interim Inc Statement Reported'!D17/'Interim Inc Statement US$'!D$7</f>
        <v>-146.94964678509379</v>
      </c>
      <c r="E17" s="58">
        <f>'Interim Inc Statement Reported'!E17/'Interim Inc Statement US$'!E$7</f>
        <v>-152.11005874595372</v>
      </c>
      <c r="F17" s="58">
        <f>'Interim Inc Statement Reported'!F17/'Interim Inc Statement US$'!F$7</f>
        <v>-160.83137448966968</v>
      </c>
      <c r="G17" s="58">
        <f>'Interim Inc Statement Reported'!G17/'Interim Inc Statement US$'!G$7</f>
        <v>-185.42512006082566</v>
      </c>
      <c r="H17" s="58">
        <f>'Interim Inc Statement Reported'!H17/'Interim Inc Statement US$'!H$7</f>
        <v>-174.13717713663249</v>
      </c>
      <c r="I17" s="58">
        <f>'Interim Inc Statement Reported'!I17/'Interim Inc Statement US$'!I$7</f>
        <v>-144.62345447733233</v>
      </c>
      <c r="J17" s="58">
        <f>'Interim Inc Statement Reported'!J17/'Interim Inc Statement US$'!J$7</f>
        <v>-172.24186383827396</v>
      </c>
      <c r="K17" s="58">
        <f>'Interim Inc Statement Reported'!K17/'Interim Inc Statement US$'!K$7</f>
        <v>-167.78025241276913</v>
      </c>
      <c r="L17" s="58">
        <f>'Interim Inc Statement Reported'!L17/'Interim Inc Statement US$'!L$7</f>
        <v>-192.21259829959644</v>
      </c>
      <c r="M17" s="58">
        <f>'Interim Inc Statement Reported'!M17/'Interim Inc Statement US$'!M$7</f>
        <v>-191.27162023228695</v>
      </c>
      <c r="N17" s="58">
        <f>'Interim Inc Statement Reported'!N17/'Interim Inc Statement US$'!N$7</f>
        <v>-202.51737602547288</v>
      </c>
      <c r="O17" s="58">
        <f>'Interim Inc Statement Reported'!O17/'Interim Inc Statement US$'!O$7</f>
        <v>-170.44008703171437</v>
      </c>
      <c r="P17" s="58">
        <f>'Interim Inc Statement Reported'!P17/'Interim Inc Statement US$'!P$7</f>
        <v>-211.92078858779774</v>
      </c>
      <c r="Q17" s="58">
        <f>'Interim Inc Statement Reported'!Q17/'Interim Inc Statement US$'!Q$7</f>
        <v>-189.27922471229562</v>
      </c>
      <c r="R17" s="58">
        <f>'Interim Inc Statement Reported'!R17/'Interim Inc Statement US$'!R$7</f>
        <v>-184.24710733216531</v>
      </c>
      <c r="S17" s="58">
        <f>'Interim Inc Statement Reported'!S17/'Interim Inc Statement US$'!S$7</f>
        <v>-190.62065856418647</v>
      </c>
      <c r="T17" s="58">
        <f>'Interim Inc Statement Reported'!T17/'Interim Inc Statement US$'!T$7</f>
        <v>-192.37213059823097</v>
      </c>
      <c r="U17" s="58">
        <f>'Interim Inc Statement Reported'!U17/'Interim Inc Statement US$'!U$7</f>
        <v>-189.39260503694936</v>
      </c>
      <c r="V17" s="58">
        <f>'Interim Inc Statement Reported'!V17/'Interim Inc Statement US$'!V$7</f>
        <v>-201.2380362745225</v>
      </c>
      <c r="W17" s="58">
        <f>'Interim Inc Statement Reported'!W17/'Interim Inc Statement US$'!W$7</f>
        <v>-130.5161082836627</v>
      </c>
      <c r="X17" s="58">
        <f>'Interim Inc Statement Reported'!X17/'Interim Inc Statement US$'!X$7</f>
        <v>-33.460980778525482</v>
      </c>
      <c r="Y17" s="58">
        <f>'Interim Inc Statement Reported'!Y17/'Interim Inc Statement US$'!Y$7</f>
        <v>-138.87846257788453</v>
      </c>
      <c r="Z17" s="58">
        <f>'Interim Inc Statement Reported'!Z17/'Interim Inc Statement US$'!Z$7</f>
        <v>-115.89723778249953</v>
      </c>
      <c r="AA17" s="58">
        <f>'Interim Inc Statement Reported'!AA17/'Interim Inc Statement US$'!AA$7</f>
        <v>-101.76282051282051</v>
      </c>
      <c r="AB17" s="58">
        <f>'Interim Inc Statement Reported'!AB17/'Interim Inc Statement US$'!AB$7</f>
        <v>-122.00956937799043</v>
      </c>
      <c r="AC17" s="58" t="e">
        <f>'Interim Inc Statement Reported'!AC17/'Interim Inc Statement US$'!AC$7</f>
        <v>#DIV/0!</v>
      </c>
    </row>
    <row r="18" spans="1:29" x14ac:dyDescent="0.3">
      <c r="A18" s="31" t="s">
        <v>18</v>
      </c>
      <c r="B18" s="58">
        <f>'Interim Inc Statement Reported'!B18/'Interim Inc Statement US$'!B$7</f>
        <v>-345.62677153908896</v>
      </c>
      <c r="C18" s="58">
        <f>'Interim Inc Statement Reported'!C18/'Interim Inc Statement US$'!C$7</f>
        <v>-436.70252994705896</v>
      </c>
      <c r="D18" s="58">
        <f>'Interim Inc Statement Reported'!D18/'Interim Inc Statement US$'!D$7</f>
        <v>-437.78748938059192</v>
      </c>
      <c r="E18" s="58">
        <f>'Interim Inc Statement Reported'!E18/'Interim Inc Statement US$'!E$7</f>
        <v>4.4958638052991251</v>
      </c>
      <c r="F18" s="58">
        <f>'Interim Inc Statement Reported'!F18/'Interim Inc Statement US$'!F$7</f>
        <v>-408.26425831993072</v>
      </c>
      <c r="G18" s="58">
        <f>'Interim Inc Statement Reported'!G18/'Interim Inc Statement US$'!G$7</f>
        <v>-296.36985716834897</v>
      </c>
      <c r="H18" s="58">
        <f>'Interim Inc Statement Reported'!H18/'Interim Inc Statement US$'!H$7</f>
        <v>-324.49350629425351</v>
      </c>
      <c r="I18" s="58">
        <f>'Interim Inc Statement Reported'!I18/'Interim Inc Statement US$'!I$7</f>
        <v>-248.03297115024353</v>
      </c>
      <c r="J18" s="58">
        <f>'Interim Inc Statement Reported'!J18/'Interim Inc Statement US$'!J$7</f>
        <v>-416.25117094249538</v>
      </c>
      <c r="K18" s="58">
        <f>'Interim Inc Statement Reported'!K18/'Interim Inc Statement US$'!K$7</f>
        <v>-319.2279138827023</v>
      </c>
      <c r="L18" s="58">
        <f>'Interim Inc Statement Reported'!L18/'Interim Inc Statement US$'!L$7</f>
        <v>-358.10562919717347</v>
      </c>
      <c r="M18" s="58">
        <f>'Interim Inc Statement Reported'!M18/'Interim Inc Statement US$'!M$7</f>
        <v>-311.70189963780092</v>
      </c>
      <c r="N18" s="58">
        <f>'Interim Inc Statement Reported'!N18/'Interim Inc Statement US$'!N$7</f>
        <v>-469.11251555900554</v>
      </c>
      <c r="O18" s="58">
        <f>'Interim Inc Statement Reported'!O18/'Interim Inc Statement US$'!O$7</f>
        <v>-355.5999997616222</v>
      </c>
      <c r="P18" s="58">
        <f>'Interim Inc Statement Reported'!P18/'Interim Inc Statement US$'!P$7</f>
        <v>-376.40804326785735</v>
      </c>
      <c r="Q18" s="58">
        <f>'Interim Inc Statement Reported'!Q18/'Interim Inc Statement US$'!Q$7</f>
        <v>-344.48818897637801</v>
      </c>
      <c r="R18" s="58">
        <f>'Interim Inc Statement Reported'!R18/'Interim Inc Statement US$'!R$7</f>
        <v>-470.01813094940132</v>
      </c>
      <c r="S18" s="58">
        <f>'Interim Inc Statement Reported'!S18/'Interim Inc Statement US$'!S$7</f>
        <v>-355.82522931981475</v>
      </c>
      <c r="T18" s="58">
        <f>'Interim Inc Statement Reported'!T18/'Interim Inc Statement US$'!T$7</f>
        <v>-374.89844348867842</v>
      </c>
      <c r="U18" s="58">
        <f>'Interim Inc Statement Reported'!U18/'Interim Inc Statement US$'!U$7</f>
        <v>-353.02781578887362</v>
      </c>
      <c r="V18" s="58">
        <f>'Interim Inc Statement Reported'!V18/'Interim Inc Statement US$'!V$7</f>
        <v>-416.63726769428916</v>
      </c>
      <c r="W18" s="58">
        <f>'Interim Inc Statement Reported'!W18/'Interim Inc Statement US$'!W$7</f>
        <v>-161.52269754442233</v>
      </c>
      <c r="X18" s="58">
        <f>'Interim Inc Statement Reported'!X18/'Interim Inc Statement US$'!X$7</f>
        <v>-95.177900881139152</v>
      </c>
      <c r="Y18" s="58">
        <f>'Interim Inc Statement Reported'!Y18/'Interim Inc Statement US$'!Y$7</f>
        <v>-41.288191577208913</v>
      </c>
      <c r="Z18" s="58">
        <f>'Interim Inc Statement Reported'!Z18/'Interim Inc Statement US$'!Z$7</f>
        <v>-79.58276994398301</v>
      </c>
      <c r="AA18" s="58">
        <f>'Interim Inc Statement Reported'!AA18/'Interim Inc Statement US$'!AA$7</f>
        <v>-87.339743589743591</v>
      </c>
      <c r="AB18" s="58">
        <f>'Interim Inc Statement Reported'!AB18/'Interim Inc Statement US$'!AB$7</f>
        <v>-192.18500797448166</v>
      </c>
      <c r="AC18" s="58" t="e">
        <f>'Interim Inc Statement Reported'!AC18/'Interim Inc Statement US$'!AC$7</f>
        <v>#DIV/0!</v>
      </c>
    </row>
    <row r="19" spans="1:29" x14ac:dyDescent="0.3">
      <c r="A19" s="31" t="s">
        <v>19</v>
      </c>
      <c r="B19" s="60">
        <f>'Interim Inc Statement Reported'!B19/'Interim Inc Statement US$'!B$7</f>
        <v>-124.3610346192049</v>
      </c>
      <c r="C19" s="60">
        <f>'Interim Inc Statement Reported'!C19/'Interim Inc Statement US$'!C$7</f>
        <v>-123.61039953808745</v>
      </c>
      <c r="D19" s="60">
        <f>'Interim Inc Statement Reported'!D19/'Interim Inc Statement US$'!D$7</f>
        <v>-120.16195075656107</v>
      </c>
      <c r="E19" s="60">
        <f>'Interim Inc Statement Reported'!E19/'Interim Inc Statement US$'!E$7</f>
        <v>-108.65004196139552</v>
      </c>
      <c r="F19" s="60">
        <f>'Interim Inc Statement Reported'!F19/'Interim Inc Statement US$'!F$7</f>
        <v>-132.44936722678679</v>
      </c>
      <c r="G19" s="60">
        <f>'Interim Inc Statement Reported'!G19/'Interim Inc Statement US$'!G$7</f>
        <v>-131.8923448131396</v>
      </c>
      <c r="H19" s="60">
        <f>'Interim Inc Statement Reported'!H19/'Interim Inc Statement US$'!H$7</f>
        <v>-137.31521897558244</v>
      </c>
      <c r="I19" s="60">
        <f>'Interim Inc Statement Reported'!I19/'Interim Inc Statement US$'!I$7</f>
        <v>-128.88722367928062</v>
      </c>
      <c r="J19" s="60">
        <f>'Interim Inc Statement Reported'!J19/'Interim Inc Statement US$'!J$7</f>
        <v>-154.86658810020245</v>
      </c>
      <c r="K19" s="60">
        <f>'Interim Inc Statement Reported'!K19/'Interim Inc Statement US$'!K$7</f>
        <v>-147.73570898292502</v>
      </c>
      <c r="L19" s="60">
        <f>'Interim Inc Statement Reported'!L19/'Interim Inc Statement US$'!L$7</f>
        <v>-162.70278030339284</v>
      </c>
      <c r="M19" s="60">
        <f>'Interim Inc Statement Reported'!M19/'Interim Inc Statement US$'!M$7</f>
        <v>-133.02429555249586</v>
      </c>
      <c r="N19" s="60">
        <f>'Interim Inc Statement Reported'!N19/'Interim Inc Statement US$'!N$7</f>
        <v>-149.51478151880616</v>
      </c>
      <c r="O19" s="60">
        <f>'Interim Inc Statement Reported'!O19/'Interim Inc Statement US$'!O$7</f>
        <v>-154.17080599686889</v>
      </c>
      <c r="P19" s="60">
        <f>'Interim Inc Statement Reported'!P19/'Interim Inc Statement US$'!P$7</f>
        <v>-181.31850864732155</v>
      </c>
      <c r="Q19" s="60">
        <f>'Interim Inc Statement Reported'!Q19/'Interim Inc Statement US$'!Q$7</f>
        <v>-137.7952755905512</v>
      </c>
      <c r="R19" s="60">
        <f>'Interim Inc Statement Reported'!R19/'Interim Inc Statement US$'!R$7</f>
        <v>-160.18217902755597</v>
      </c>
      <c r="S19" s="60">
        <f>'Interim Inc Statement Reported'!S19/'Interim Inc Statement US$'!S$7</f>
        <v>-163.70950676688955</v>
      </c>
      <c r="T19" s="60">
        <f>'Interim Inc Statement Reported'!T19/'Interim Inc Statement US$'!T$7</f>
        <v>-187.82790704079244</v>
      </c>
      <c r="U19" s="60">
        <f>'Interim Inc Statement Reported'!U19/'Interim Inc Statement US$'!U$7</f>
        <v>-146.96866150867271</v>
      </c>
      <c r="V19" s="60">
        <f>'Interim Inc Statement Reported'!V19/'Interim Inc Statement US$'!V$7</f>
        <v>-136.3946690305097</v>
      </c>
      <c r="W19" s="60">
        <f>'Interim Inc Statement Reported'!W19/'Interim Inc Statement US$'!W$7</f>
        <v>-9.374085125345939</v>
      </c>
      <c r="X19" s="60">
        <f>'Interim Inc Statement Reported'!X19/'Interim Inc Statement US$'!X$7</f>
        <v>-22.30732051901699</v>
      </c>
      <c r="Y19" s="60">
        <f>'Interim Inc Statement Reported'!Y19/'Interim Inc Statement US$'!Y$7</f>
        <v>-19.518054200135126</v>
      </c>
      <c r="Z19" s="60">
        <f>'Interim Inc Statement Reported'!Z19/'Interim Inc Statement US$'!Z$7</f>
        <v>-18.543558045199923</v>
      </c>
      <c r="AA19" s="60">
        <f>'Interim Inc Statement Reported'!AA19/'Interim Inc Statement US$'!AA$7</f>
        <v>-35.256410256410255</v>
      </c>
      <c r="AB19" s="60">
        <f>'Interim Inc Statement Reported'!AB19/'Interim Inc Statement US$'!AB$7</f>
        <v>-59.011164274322169</v>
      </c>
      <c r="AC19" s="60" t="e">
        <f>'Interim Inc Statement Reported'!AC19/'Interim Inc Statement US$'!AC$7</f>
        <v>#DIV/0!</v>
      </c>
    </row>
    <row r="20" spans="1:29" x14ac:dyDescent="0.3">
      <c r="A20" s="31" t="s">
        <v>20</v>
      </c>
      <c r="B20" s="58">
        <f t="shared" ref="B20:K20" si="12">SUM(B21:B23)</f>
        <v>-713.86464028166972</v>
      </c>
      <c r="C20" s="58">
        <f t="shared" si="12"/>
        <v>-616.42554506493605</v>
      </c>
      <c r="D20" s="58">
        <f t="shared" si="12"/>
        <v>-564.8377048302043</v>
      </c>
      <c r="E20" s="58">
        <f t="shared" si="12"/>
        <v>-956.12036926028054</v>
      </c>
      <c r="F20" s="58">
        <f t="shared" si="12"/>
        <v>-638.2312915268792</v>
      </c>
      <c r="G20" s="58">
        <f t="shared" si="12"/>
        <v>-727.73540843955846</v>
      </c>
      <c r="H20" s="58">
        <f t="shared" si="12"/>
        <v>-784.00085917902379</v>
      </c>
      <c r="I20" s="58">
        <f t="shared" si="12"/>
        <v>-792.0569501686025</v>
      </c>
      <c r="J20" s="58">
        <f t="shared" si="12"/>
        <v>-777.35472758589435</v>
      </c>
      <c r="K20" s="58">
        <f t="shared" si="12"/>
        <v>-770.60133630289533</v>
      </c>
      <c r="L20" s="58">
        <f t="shared" ref="L20:M20" si="13">SUM(L21:L23)</f>
        <v>-785.59920881785274</v>
      </c>
      <c r="M20" s="58">
        <f t="shared" si="13"/>
        <v>-843.01195583859794</v>
      </c>
      <c r="N20" s="58">
        <f t="shared" ref="N20:O20" si="14">SUM(N21:N23)</f>
        <v>-893.92435511243889</v>
      </c>
      <c r="O20" s="58">
        <f t="shared" si="14"/>
        <v>-893.26100157984843</v>
      </c>
      <c r="P20" s="58">
        <f t="shared" ref="P20:Q20" si="15">SUM(P21:P23)</f>
        <v>-803.30984843750048</v>
      </c>
      <c r="Q20" s="58">
        <f t="shared" si="15"/>
        <v>-991.06602059357988</v>
      </c>
      <c r="R20" s="58">
        <f t="shared" ref="R20:S20" si="16">SUM(R21:R23)</f>
        <v>-832.4961135375795</v>
      </c>
      <c r="S20" s="58">
        <f t="shared" si="16"/>
        <v>-836.48830169931239</v>
      </c>
      <c r="T20" s="58">
        <f t="shared" ref="T20:U20" si="17">SUM(T21:T23)</f>
        <v>-911.1168232664246</v>
      </c>
      <c r="U20" s="58">
        <f t="shared" si="17"/>
        <v>-818.17605375962125</v>
      </c>
      <c r="V20" s="58">
        <f t="shared" ref="V20:Y20" si="18">SUM(V21:V23)</f>
        <v>-750.54334269794128</v>
      </c>
      <c r="W20" s="58">
        <f t="shared" si="18"/>
        <v>-254.54246532670129</v>
      </c>
      <c r="X20" s="58">
        <f t="shared" si="18"/>
        <v>-340.55842659032601</v>
      </c>
      <c r="Y20" s="58">
        <f t="shared" si="18"/>
        <v>-446.66316342616921</v>
      </c>
      <c r="Z20" s="58">
        <f t="shared" ref="Z20:AA20" si="19">SUM(Z21:Z23)</f>
        <v>-387.09677419354841</v>
      </c>
      <c r="AA20" s="58">
        <f t="shared" si="19"/>
        <v>-382.21153846153845</v>
      </c>
      <c r="AB20" s="58">
        <f t="shared" ref="AB20:AC20" si="20">SUM(AB21:AB23)</f>
        <v>-508.77192982456143</v>
      </c>
      <c r="AC20" s="58" t="e">
        <f t="shared" si="20"/>
        <v>#DIV/0!</v>
      </c>
    </row>
    <row r="21" spans="1:29" x14ac:dyDescent="0.3">
      <c r="A21" s="31" t="s">
        <v>21</v>
      </c>
      <c r="B21" s="58">
        <f>'Interim Inc Statement Reported'!B21/'Interim Inc Statement US$'!B$7</f>
        <v>0</v>
      </c>
      <c r="C21" s="58">
        <f>'Interim Inc Statement Reported'!C21/'Interim Inc Statement US$'!C$7</f>
        <v>0</v>
      </c>
      <c r="D21" s="58">
        <f>'Interim Inc Statement Reported'!D21/'Interim Inc Statement US$'!D$7</f>
        <v>0</v>
      </c>
      <c r="E21" s="58">
        <f>'Interim Inc Statement Reported'!E21/'Interim Inc Statement US$'!E$7</f>
        <v>0</v>
      </c>
      <c r="F21" s="58">
        <f>'Interim Inc Statement Reported'!F21/'Interim Inc Statement US$'!F$7</f>
        <v>0</v>
      </c>
      <c r="G21" s="58">
        <f>'Interim Inc Statement Reported'!G21/'Interim Inc Statement US$'!G$7</f>
        <v>0</v>
      </c>
      <c r="H21" s="58">
        <f>'Interim Inc Statement Reported'!H21/'Interim Inc Statement US$'!H$7</f>
        <v>0</v>
      </c>
      <c r="I21" s="58">
        <f>'Interim Inc Statement Reported'!I21/'Interim Inc Statement US$'!I$7</f>
        <v>0</v>
      </c>
      <c r="J21" s="58">
        <f>'Interim Inc Statement Reported'!J21/'Interim Inc Statement US$'!J$7</f>
        <v>0</v>
      </c>
      <c r="K21" s="58">
        <f>'Interim Inc Statement Reported'!K21/'Interim Inc Statement US$'!K$7</f>
        <v>0</v>
      </c>
      <c r="L21" s="58">
        <f>'Interim Inc Statement Reported'!L21/'Interim Inc Statement US$'!L$7</f>
        <v>0</v>
      </c>
      <c r="M21" s="58">
        <f>'Interim Inc Statement Reported'!M21/'Interim Inc Statement US$'!M$7</f>
        <v>0</v>
      </c>
      <c r="N21" s="58">
        <f>'Interim Inc Statement Reported'!N21/'Interim Inc Statement US$'!N$7</f>
        <v>0</v>
      </c>
      <c r="O21" s="58">
        <f>'Interim Inc Statement Reported'!O21/'Interim Inc Statement US$'!O$7</f>
        <v>0</v>
      </c>
      <c r="P21" s="58">
        <f>'Interim Inc Statement Reported'!P21/'Interim Inc Statement US$'!P$7</f>
        <v>0</v>
      </c>
      <c r="Q21" s="58">
        <f>'Interim Inc Statement Reported'!Q21/'Interim Inc Statement US$'!Q$7</f>
        <v>0</v>
      </c>
      <c r="R21" s="58">
        <f>'Interim Inc Statement Reported'!R21/'Interim Inc Statement US$'!R$7</f>
        <v>0</v>
      </c>
      <c r="S21" s="58">
        <f>'Interim Inc Statement Reported'!S21/'Interim Inc Statement US$'!S$7</f>
        <v>0</v>
      </c>
      <c r="T21" s="58">
        <f>'Interim Inc Statement Reported'!T21/'Interim Inc Statement US$'!T$7</f>
        <v>0</v>
      </c>
      <c r="U21" s="58">
        <f>'Interim Inc Statement Reported'!U21/'Interim Inc Statement US$'!U$7</f>
        <v>0</v>
      </c>
      <c r="V21" s="58">
        <f>'Interim Inc Statement Reported'!V21/'Interim Inc Statement US$'!V$7</f>
        <v>0</v>
      </c>
      <c r="W21" s="58">
        <f>'Interim Inc Statement Reported'!W21/'Interim Inc Statement US$'!W$7</f>
        <v>0</v>
      </c>
      <c r="X21" s="58">
        <f>'Interim Inc Statement Reported'!X21/'Interim Inc Statement US$'!X$7</f>
        <v>0</v>
      </c>
      <c r="Y21" s="58">
        <f>'Interim Inc Statement Reported'!Y21/'Interim Inc Statement US$'!Y$7</f>
        <v>0</v>
      </c>
      <c r="Z21" s="58">
        <f>'Interim Inc Statement Reported'!Z21/'Interim Inc Statement US$'!Z$7</f>
        <v>0</v>
      </c>
      <c r="AA21" s="58">
        <f>'Interim Inc Statement Reported'!AA21/'Interim Inc Statement US$'!AA$7</f>
        <v>0</v>
      </c>
      <c r="AB21" s="58">
        <f>'Interim Inc Statement Reported'!AB21/'Interim Inc Statement US$'!AB$7</f>
        <v>0</v>
      </c>
      <c r="AC21" s="58" t="e">
        <f>'Interim Inc Statement Reported'!AC21/'Interim Inc Statement US$'!AC$7</f>
        <v>#DIV/0!</v>
      </c>
    </row>
    <row r="22" spans="1:29" x14ac:dyDescent="0.3">
      <c r="A22" s="31" t="s">
        <v>22</v>
      </c>
      <c r="B22" s="58">
        <f>'Interim Inc Statement Reported'!B22/'Interim Inc Statement US$'!B$7</f>
        <v>-445.76163058312409</v>
      </c>
      <c r="C22" s="58">
        <f>'Interim Inc Statement Reported'!C22/'Interim Inc Statement US$'!C$7</f>
        <v>-483.05642977384173</v>
      </c>
      <c r="D22" s="58">
        <f>'Interim Inc Statement Reported'!D22/'Interim Inc Statement US$'!D$7</f>
        <v>-446.9718423046603</v>
      </c>
      <c r="E22" s="58">
        <f>'Interim Inc Statement Reported'!E22/'Interim Inc Statement US$'!E$7</f>
        <v>-411.37153818486991</v>
      </c>
      <c r="F22" s="58">
        <f>'Interim Inc Statement Reported'!F22/'Interim Inc Statement US$'!F$7</f>
        <v>-414.08620852770156</v>
      </c>
      <c r="G22" s="58">
        <f>'Interim Inc Statement Reported'!G22/'Interim Inc Statement US$'!G$7</f>
        <v>-448.43397236467462</v>
      </c>
      <c r="H22" s="58">
        <f>'Interim Inc Statement Reported'!H22/'Interim Inc Statement US$'!H$7</f>
        <v>-490.19231801897871</v>
      </c>
      <c r="I22" s="58">
        <f>'Interim Inc Statement Reported'!I22/'Interim Inc Statement US$'!I$7</f>
        <v>-466.09216935181718</v>
      </c>
      <c r="J22" s="58">
        <f>'Interim Inc Statement Reported'!J22/'Interim Inc Statement US$'!J$7</f>
        <v>-477.44235941135588</v>
      </c>
      <c r="K22" s="58">
        <f>'Interim Inc Statement Reported'!K22/'Interim Inc Statement US$'!K$7</f>
        <v>-481.06904231625833</v>
      </c>
      <c r="L22" s="58">
        <f>'Interim Inc Statement Reported'!L22/'Interim Inc Statement US$'!L$7</f>
        <v>-441.05214464596196</v>
      </c>
      <c r="M22" s="58">
        <f>'Interim Inc Statement Reported'!M22/'Interim Inc Statement US$'!M$7</f>
        <v>-509.27052794357883</v>
      </c>
      <c r="N22" s="58">
        <f>'Interim Inc Statement Reported'!N22/'Interim Inc Statement US$'!N$7</f>
        <v>-533.98136256716487</v>
      </c>
      <c r="O22" s="58">
        <f>'Interim Inc Statement Reported'!O22/'Interim Inc Statement US$'!O$7</f>
        <v>-574.84792989787297</v>
      </c>
      <c r="P22" s="58">
        <f>'Interim Inc Statement Reported'!P22/'Interim Inc Statement US$'!P$7</f>
        <v>-434.55237515476216</v>
      </c>
      <c r="Q22" s="58">
        <f>'Interim Inc Statement Reported'!Q22/'Interim Inc Statement US$'!Q$7</f>
        <v>-648.84918231374934</v>
      </c>
      <c r="R22" s="58">
        <f>'Interim Inc Statement Reported'!R22/'Interim Inc Statement US$'!R$7</f>
        <v>-446.70523165431098</v>
      </c>
      <c r="S22" s="58">
        <f>'Interim Inc Statement Reported'!S22/'Interim Inc Statement US$'!S$7</f>
        <v>-451.50932459909262</v>
      </c>
      <c r="T22" s="58">
        <f>'Interim Inc Statement Reported'!T22/'Interim Inc Statement US$'!T$7</f>
        <v>-478.65821471685814</v>
      </c>
      <c r="U22" s="58">
        <f>'Interim Inc Statement Reported'!U22/'Interim Inc Statement US$'!U$7</f>
        <v>-462.87552671030426</v>
      </c>
      <c r="V22" s="58">
        <f>'Interim Inc Statement Reported'!V22/'Interim Inc Statement US$'!V$7</f>
        <v>-351.04857439000034</v>
      </c>
      <c r="W22" s="58">
        <f>'Interim Inc Statement Reported'!W22/'Interim Inc Statement US$'!W$7</f>
        <v>-124.02635704303859</v>
      </c>
      <c r="X22" s="58">
        <f>'Interim Inc Statement Reported'!X22/'Interim Inc Statement US$'!X$7</f>
        <v>-147.22831542551214</v>
      </c>
      <c r="Y22" s="58">
        <f>'Interim Inc Statement Reported'!Y22/'Interim Inc Statement US$'!Y$7</f>
        <v>-183.92012611665791</v>
      </c>
      <c r="Z22" s="58">
        <f>'Interim Inc Statement Reported'!Z22/'Interim Inc Statement US$'!Z$7</f>
        <v>-150.66640911724937</v>
      </c>
      <c r="AA22" s="58">
        <f>'Interim Inc Statement Reported'!AA22/'Interim Inc Statement US$'!AA$7</f>
        <v>-154.64743589743588</v>
      </c>
      <c r="AB22" s="58">
        <f>'Interim Inc Statement Reported'!AB22/'Interim Inc Statement US$'!AB$7</f>
        <v>-248.80382775119617</v>
      </c>
      <c r="AC22" s="58" t="e">
        <f>'Interim Inc Statement Reported'!AC22/'Interim Inc Statement US$'!AC$7</f>
        <v>#DIV/0!</v>
      </c>
    </row>
    <row r="23" spans="1:29" x14ac:dyDescent="0.3">
      <c r="A23" s="31" t="s">
        <v>23</v>
      </c>
      <c r="B23" s="60">
        <f>'Interim Inc Statement Reported'!B23/'Interim Inc Statement US$'!B$7</f>
        <v>-268.10300969854563</v>
      </c>
      <c r="C23" s="60">
        <f>'Interim Inc Statement Reported'!C23/'Interim Inc Statement US$'!C$7</f>
        <v>-133.36911529109435</v>
      </c>
      <c r="D23" s="60">
        <f>'Interim Inc Statement Reported'!D23/'Interim Inc Statement US$'!D$7</f>
        <v>-117.86586252554397</v>
      </c>
      <c r="E23" s="60">
        <f>'Interim Inc Statement Reported'!E23/'Interim Inc Statement US$'!E$7</f>
        <v>-544.74883107541064</v>
      </c>
      <c r="F23" s="60">
        <f>'Interim Inc Statement Reported'!F23/'Interim Inc Statement US$'!F$7</f>
        <v>-224.14508299917765</v>
      </c>
      <c r="G23" s="60">
        <f>'Interim Inc Statement Reported'!G23/'Interim Inc Statement US$'!G$7</f>
        <v>-279.30143607488384</v>
      </c>
      <c r="H23" s="60">
        <f>'Interim Inc Statement Reported'!H23/'Interim Inc Statement US$'!H$7</f>
        <v>-293.80854116004514</v>
      </c>
      <c r="I23" s="60">
        <f>'Interim Inc Statement Reported'!I23/'Interim Inc Statement US$'!I$7</f>
        <v>-325.96478081678532</v>
      </c>
      <c r="J23" s="60">
        <f>'Interim Inc Statement Reported'!J23/'Interim Inc Statement US$'!J$7</f>
        <v>-299.91236817453841</v>
      </c>
      <c r="K23" s="60">
        <f>'Interim Inc Statement Reported'!K23/'Interim Inc Statement US$'!K$7</f>
        <v>-289.532293986637</v>
      </c>
      <c r="L23" s="60">
        <f>'Interim Inc Statement Reported'!L23/'Interim Inc Statement US$'!L$7</f>
        <v>-344.54706417189072</v>
      </c>
      <c r="M23" s="60">
        <f>'Interim Inc Statement Reported'!M23/'Interim Inc Statement US$'!M$7</f>
        <v>-333.74142789501917</v>
      </c>
      <c r="N23" s="60">
        <f>'Interim Inc Statement Reported'!N23/'Interim Inc Statement US$'!N$7</f>
        <v>-359.94299254527408</v>
      </c>
      <c r="O23" s="60">
        <f>'Interim Inc Statement Reported'!O23/'Interim Inc Statement US$'!O$7</f>
        <v>-318.41307168197545</v>
      </c>
      <c r="P23" s="60">
        <f>'Interim Inc Statement Reported'!P23/'Interim Inc Statement US$'!P$7</f>
        <v>-368.75747328273832</v>
      </c>
      <c r="Q23" s="60">
        <f>'Interim Inc Statement Reported'!Q23/'Interim Inc Statement US$'!Q$7</f>
        <v>-342.21683827983048</v>
      </c>
      <c r="R23" s="60">
        <f>'Interim Inc Statement Reported'!R23/'Interim Inc Statement US$'!R$7</f>
        <v>-385.79088188326858</v>
      </c>
      <c r="S23" s="60">
        <f>'Interim Inc Statement Reported'!S23/'Interim Inc Statement US$'!S$7</f>
        <v>-384.97897710021971</v>
      </c>
      <c r="T23" s="60">
        <f>'Interim Inc Statement Reported'!T23/'Interim Inc Statement US$'!T$7</f>
        <v>-432.45860854956646</v>
      </c>
      <c r="U23" s="60">
        <f>'Interim Inc Statement Reported'!U23/'Interim Inc Statement US$'!U$7</f>
        <v>-355.300527049317</v>
      </c>
      <c r="V23" s="60">
        <f>'Interim Inc Statement Reported'!V23/'Interim Inc Statement US$'!V$7</f>
        <v>-399.49476830794094</v>
      </c>
      <c r="W23" s="60">
        <f>'Interim Inc Statement Reported'!W23/'Interim Inc Statement US$'!W$7</f>
        <v>-130.5161082836627</v>
      </c>
      <c r="X23" s="60">
        <f>'Interim Inc Statement Reported'!X23/'Interim Inc Statement US$'!X$7</f>
        <v>-193.3301111648139</v>
      </c>
      <c r="Y23" s="60">
        <f>'Interim Inc Statement Reported'!Y23/'Interim Inc Statement US$'!Y$7</f>
        <v>-262.74303730951129</v>
      </c>
      <c r="Z23" s="60">
        <f>'Interim Inc Statement Reported'!Z23/'Interim Inc Statement US$'!Z$7</f>
        <v>-236.43036507629904</v>
      </c>
      <c r="AA23" s="60">
        <f>'Interim Inc Statement Reported'!AA23/'Interim Inc Statement US$'!AA$7</f>
        <v>-227.56410256410257</v>
      </c>
      <c r="AB23" s="60">
        <f>'Interim Inc Statement Reported'!AB23/'Interim Inc Statement US$'!AB$7</f>
        <v>-259.96810207336523</v>
      </c>
      <c r="AC23" s="60" t="e">
        <f>'Interim Inc Statement Reported'!AC23/'Interim Inc Statement US$'!AC$7</f>
        <v>#DIV/0!</v>
      </c>
    </row>
    <row r="24" spans="1:29" x14ac:dyDescent="0.3">
      <c r="A24" s="14" t="s">
        <v>24</v>
      </c>
      <c r="B24" s="74">
        <f t="shared" ref="B24:K24" si="21">SUM(B15:B20)</f>
        <v>-2272.415268950926</v>
      </c>
      <c r="C24" s="74">
        <f t="shared" si="21"/>
        <v>-2320.1346702773913</v>
      </c>
      <c r="D24" s="74">
        <f t="shared" si="21"/>
        <v>-2260.8815448081618</v>
      </c>
      <c r="E24" s="74">
        <f t="shared" si="21"/>
        <v>-2049.3645845821843</v>
      </c>
      <c r="F24" s="74">
        <f t="shared" si="21"/>
        <v>-2106.8182314370756</v>
      </c>
      <c r="G24" s="74">
        <f t="shared" si="21"/>
        <v>-2224.3256034074775</v>
      </c>
      <c r="H24" s="74">
        <f t="shared" si="21"/>
        <v>-2467.8383209187082</v>
      </c>
      <c r="I24" s="74">
        <f t="shared" si="21"/>
        <v>-2236.0434619707758</v>
      </c>
      <c r="J24" s="74">
        <f t="shared" si="21"/>
        <v>-2505.0614933671777</v>
      </c>
      <c r="K24" s="74">
        <f t="shared" si="21"/>
        <v>-2417.9658500371197</v>
      </c>
      <c r="L24" s="74">
        <f t="shared" ref="L24:M24" si="22">SUM(L15:L20)</f>
        <v>-2777.1131422373232</v>
      </c>
      <c r="M24" s="74">
        <f t="shared" si="22"/>
        <v>-2610.1098464619899</v>
      </c>
      <c r="N24" s="74">
        <f t="shared" ref="N24:O24" si="23">SUM(N15:N20)</f>
        <v>-2921.4713658674664</v>
      </c>
      <c r="O24" s="74">
        <f t="shared" si="23"/>
        <v>-2871.140738816061</v>
      </c>
      <c r="P24" s="74">
        <f t="shared" ref="P24:Q24" si="24">SUM(P15:P20)</f>
        <v>-3190.2876837946451</v>
      </c>
      <c r="Q24" s="74">
        <f t="shared" si="24"/>
        <v>-2819.5033313143558</v>
      </c>
      <c r="R24" s="74">
        <f t="shared" ref="R24:S24" si="25">SUM(R15:R20)</f>
        <v>-2910.3522668386922</v>
      </c>
      <c r="S24" s="74">
        <f t="shared" si="25"/>
        <v>-2871.270390372707</v>
      </c>
      <c r="T24" s="74">
        <f t="shared" ref="T24:U24" si="26">SUM(T15:T20)</f>
        <v>-3090.8293896511045</v>
      </c>
      <c r="U24" s="74">
        <f t="shared" si="26"/>
        <v>-2805.2832658072939</v>
      </c>
      <c r="V24" s="74">
        <f t="shared" ref="V24:Y24" si="27">SUM(V15:V20)</f>
        <v>-2721.1854460677096</v>
      </c>
      <c r="W24" s="74">
        <f t="shared" si="27"/>
        <v>-915.05492492799976</v>
      </c>
      <c r="X24" s="74">
        <f t="shared" si="27"/>
        <v>-834.29378741123537</v>
      </c>
      <c r="Y24" s="74">
        <f t="shared" si="27"/>
        <v>-1056.2270099842353</v>
      </c>
      <c r="Z24" s="74">
        <f t="shared" ref="Z24:AA24" si="28">SUM(Z15:Z20)</f>
        <v>-1039.2118987830791</v>
      </c>
      <c r="AA24" s="74">
        <f t="shared" si="28"/>
        <v>-1250</v>
      </c>
      <c r="AB24" s="74">
        <f t="shared" ref="AB24:AC24" si="29">SUM(AB15:AB20)</f>
        <v>-1657.8947368421054</v>
      </c>
      <c r="AC24" s="74" t="e">
        <f t="shared" si="29"/>
        <v>#DIV/0!</v>
      </c>
    </row>
    <row r="25" spans="1:29" x14ac:dyDescent="0.3">
      <c r="A25" s="31" t="s">
        <v>0</v>
      </c>
      <c r="B25" s="75"/>
      <c r="C25" s="75" t="str">
        <f ca="1">IFERROR(IF(Inputs!$E$14 = "Semi-annual",(C24/OFFSET(C24,0,-2,,))-1,(C24/OFFSET(C24,0,-4,,))-1),"")</f>
        <v/>
      </c>
      <c r="D25" s="75" t="str">
        <f ca="1">IFERROR(IF(Inputs!$E$14 = "Semi-annual",(D24/OFFSET(D24,0,-2,,))-1,(D24/OFFSET(D24,0,-4,,))-1),"")</f>
        <v/>
      </c>
      <c r="E25" s="75" t="str">
        <f ca="1">IFERROR(IF(Inputs!$E$14 = "Semi-annual",(E24/OFFSET(E24,0,-2,,))-1,(E24/OFFSET(E24,0,-4,,))-1),"")</f>
        <v/>
      </c>
      <c r="F25" s="50">
        <f ca="1">IFERROR(IF(Inputs!$E$14 = "Semi-annual",(F24/OFFSET(F24,0,-2,,))-1,(F24/OFFSET(F24,0,-4,,))-1),"")</f>
        <v>-7.2872700591516071E-2</v>
      </c>
      <c r="G25" s="50">
        <f ca="1">IFERROR(IF(Inputs!$E$14 = "Semi-annual",(G24/OFFSET(G24,0,-2,,))-1,(G24/OFFSET(G24,0,-4,,))-1),"")</f>
        <v>-4.1294614531344864E-2</v>
      </c>
      <c r="H25" s="50">
        <f ca="1">IFERROR(IF(Inputs!$E$14 = "Semi-annual",(H24/OFFSET(H24,0,-2,,))-1,(H24/OFFSET(H24,0,-4,,))-1),"")</f>
        <v>9.1538089019213453E-2</v>
      </c>
      <c r="I25" s="50">
        <f ca="1">IFERROR(IF(Inputs!$E$14 = "Semi-annual",(I24/OFFSET(I24,0,-2,,))-1,(I24/OFFSET(I24,0,-4,,))-1),"")</f>
        <v>9.1091101501908023E-2</v>
      </c>
      <c r="J25" s="50">
        <f ca="1">IFERROR(IF(Inputs!$E$14 = "Semi-annual",(J24/OFFSET(J24,0,-2,,))-1,(J24/OFFSET(J24,0,-4,,))-1),"")</f>
        <v>0.18902592354085401</v>
      </c>
      <c r="K25" s="50">
        <f ca="1">IFERROR(IF(Inputs!$E$14 = "Semi-annual",(K24/OFFSET(K24,0,-2,,))-1,(K24/OFFSET(K24,0,-4,,))-1),"")</f>
        <v>8.7055710878390258E-2</v>
      </c>
      <c r="L25" s="50">
        <f ca="1">IFERROR(IF(Inputs!$E$14 = "Semi-annual",(L24/OFFSET(L24,0,-2,,))-1,(L24/OFFSET(L24,0,-4,,))-1),"")</f>
        <v>0.12532215692455928</v>
      </c>
      <c r="M25" s="50">
        <f ca="1">IFERROR(IF(Inputs!$E$14 = "Semi-annual",(M24/OFFSET(M24,0,-2,,))-1,(M24/OFFSET(M24,0,-4,,))-1),"")</f>
        <v>0.16728940687115457</v>
      </c>
      <c r="N25" s="50">
        <f ca="1">IFERROR(IF(Inputs!$E$14 = "Semi-annual",(N24/OFFSET(N24,0,-2,,))-1,(N24/OFFSET(N24,0,-4,,))-1),"")</f>
        <v>0.16622740543609238</v>
      </c>
      <c r="O25" s="50">
        <f ca="1">IFERROR(IF(Inputs!$E$14 = "Semi-annual",(O24/OFFSET(O24,0,-2,,))-1,(O24/OFFSET(O24,0,-4,,))-1),"")</f>
        <v>0.18741988799055376</v>
      </c>
      <c r="P25" s="50">
        <f ca="1">IFERROR(IF(Inputs!$E$14 = "Semi-annual",(P24/OFFSET(P24,0,-2,,))-1,(P24/OFFSET(P24,0,-4,,))-1),"")</f>
        <v>0.14877843299695614</v>
      </c>
      <c r="Q25" s="50">
        <f ca="1">IFERROR(IF(Inputs!$E$14 = "Semi-annual",(Q24/OFFSET(Q24,0,-2,,))-1,(Q24/OFFSET(Q24,0,-4,,))-1),"")</f>
        <v>8.0224012463000038E-2</v>
      </c>
      <c r="R25" s="50">
        <f ca="1">IFERROR(IF(Inputs!$E$14 = "Semi-annual",(R24/OFFSET(R24,0,-2,,))-1,(R24/OFFSET(R24,0,-4,,))-1),"")</f>
        <v>-3.8059928153608702E-3</v>
      </c>
      <c r="S25" s="50">
        <f ca="1">IFERROR(IF(Inputs!$E$14 = "Semi-annual",(S24/OFFSET(S24,0,-2,,))-1,(S24/OFFSET(S24,0,-4,,))-1),"")</f>
        <v>4.5156809937330067E-5</v>
      </c>
      <c r="T25" s="50">
        <f ca="1">IFERROR(IF(Inputs!$E$14 = "Semi-annual",(T24/OFFSET(T24,0,-2,,))-1,(T24/OFFSET(T24,0,-4,,))-1),"")</f>
        <v>-3.1175337148667825E-2</v>
      </c>
      <c r="U25" s="50">
        <f ca="1">IFERROR(IF(Inputs!$E$14 = "Semi-annual",(U24/OFFSET(U24,0,-2,,))-1,(U24/OFFSET(U24,0,-4,,))-1),"")</f>
        <v>-5.0434646943413597E-3</v>
      </c>
      <c r="V25" s="50">
        <f ca="1">IFERROR(IF(Inputs!$E$14 = "Semi-annual",(V24/OFFSET(V24,0,-2,,))-1,(V24/OFFSET(V24,0,-4,,))-1),"")</f>
        <v>-6.4997912083151754E-2</v>
      </c>
      <c r="W25" s="50">
        <f ca="1">IFERROR(IF(Inputs!$E$14 = "Semi-annual",(W24/OFFSET(W24,0,-2,,))-1,(W24/OFFSET(W24,0,-4,,))-1),"")</f>
        <v>-0.68130659933799531</v>
      </c>
      <c r="X25" s="50">
        <f ca="1">IFERROR(IF(Inputs!$E$14 = "Semi-annual",(X24/OFFSET(X24,0,-2,,))-1,(X24/OFFSET(X24,0,-4,,))-1),"")</f>
        <v>-0.73007446150063582</v>
      </c>
      <c r="Y25" s="50">
        <f ca="1">IFERROR(IF(Inputs!$E$14 = "Semi-annual",(Y24/OFFSET(Y24,0,-2,,))-1,(Y24/OFFSET(Y24,0,-4,,))-1),"")</f>
        <v>-0.62348650389133575</v>
      </c>
      <c r="Z25" s="50">
        <f ca="1">IFERROR(IF(Inputs!$E$14 = "Semi-annual",(Z24/OFFSET(Z24,0,-2,,))-1,(Z24/OFFSET(Z24,0,-4,,))-1),"")</f>
        <v>-0.61810324236269598</v>
      </c>
      <c r="AA25" s="50">
        <f ca="1">IFERROR(IF(Inputs!$E$14 = "Semi-annual",(AA24/OFFSET(AA24,0,-2,,))-1,(AA24/OFFSET(AA24,0,-4,,))-1),"")</f>
        <v>0.36603821907013412</v>
      </c>
      <c r="AB25" s="50">
        <f ca="1">IFERROR(IF(Inputs!$E$14 = "Semi-annual",(AB24/OFFSET(AB24,0,-2,,))-1,(AB24/OFFSET(AB24,0,-4,,))-1),"")</f>
        <v>0.9871833661694347</v>
      </c>
      <c r="AC25" s="50" t="str">
        <f ca="1">IFERROR(IF(Inputs!$E$14 = "Semi-annual",(AC24/OFFSET(AC24,0,-2,,))-1,(AC24/OFFSET(AC24,0,-4,,))-1),"")</f>
        <v/>
      </c>
    </row>
    <row r="26" spans="1:29" x14ac:dyDescent="0.3">
      <c r="A26" s="14" t="s">
        <v>25</v>
      </c>
      <c r="B26" s="74">
        <f t="shared" ref="B26:K26" si="30">B13+B24</f>
        <v>351.27954583996188</v>
      </c>
      <c r="C26" s="74">
        <f t="shared" si="30"/>
        <v>456.21996145307276</v>
      </c>
      <c r="D26" s="74">
        <f t="shared" si="30"/>
        <v>818.17277298575664</v>
      </c>
      <c r="E26" s="74">
        <f t="shared" si="30"/>
        <v>334.94185349478494</v>
      </c>
      <c r="F26" s="74">
        <f t="shared" si="30"/>
        <v>326.02921163516748</v>
      </c>
      <c r="G26" s="74">
        <f t="shared" si="30"/>
        <v>458.51985755626811</v>
      </c>
      <c r="H26" s="74">
        <f t="shared" si="30"/>
        <v>946.63117439032794</v>
      </c>
      <c r="I26" s="74">
        <f t="shared" si="30"/>
        <v>330.46084675908514</v>
      </c>
      <c r="J26" s="74">
        <f t="shared" si="30"/>
        <v>246.27564741788274</v>
      </c>
      <c r="K26" s="74">
        <f t="shared" si="30"/>
        <v>484.78099480326637</v>
      </c>
      <c r="L26" s="74">
        <f t="shared" ref="L26:O26" si="31">L13+L24</f>
        <v>1114.992582667368</v>
      </c>
      <c r="M26" s="74">
        <f t="shared" si="31"/>
        <v>396.71150862992818</v>
      </c>
      <c r="N26" s="74">
        <f t="shared" si="31"/>
        <v>299.02956303761175</v>
      </c>
      <c r="O26" s="74">
        <f t="shared" si="31"/>
        <v>485.7542480403863</v>
      </c>
      <c r="P26" s="74">
        <f t="shared" ref="P26:R26" si="32">P13+P24</f>
        <v>952.49596314732116</v>
      </c>
      <c r="Q26" s="74">
        <f t="shared" si="32"/>
        <v>395.215021199273</v>
      </c>
      <c r="R26" s="74">
        <f t="shared" si="32"/>
        <v>438.43291254960241</v>
      </c>
      <c r="S26" s="74">
        <f t="shared" ref="S26:U26" si="33">S13+S24</f>
        <v>684.73930684233164</v>
      </c>
      <c r="T26" s="74">
        <f t="shared" si="33"/>
        <v>1114.8495127582514</v>
      </c>
      <c r="U26" s="74">
        <f t="shared" si="33"/>
        <v>503.78432939828554</v>
      </c>
      <c r="V26" s="74">
        <f t="shared" ref="V26:Y26" si="34">V13+V24</f>
        <v>52.918150279596375</v>
      </c>
      <c r="W26" s="74">
        <f t="shared" si="34"/>
        <v>-535.04393561589904</v>
      </c>
      <c r="X26" s="74">
        <f t="shared" si="34"/>
        <v>-271.40573298137326</v>
      </c>
      <c r="Y26" s="74">
        <f t="shared" si="34"/>
        <v>-435.40274754147583</v>
      </c>
      <c r="Z26" s="74">
        <f t="shared" ref="Z26:AA26" si="35">Z13+Z24</f>
        <v>-475.95132316013132</v>
      </c>
      <c r="AA26" s="74">
        <f t="shared" si="35"/>
        <v>-579.32692307692309</v>
      </c>
      <c r="AB26" s="74">
        <f t="shared" ref="AB26:AC26" si="36">AB13+AB24</f>
        <v>19.138755980861106</v>
      </c>
      <c r="AC26" s="74" t="e">
        <f t="shared" si="36"/>
        <v>#DIV/0!</v>
      </c>
    </row>
    <row r="27" spans="1:29" x14ac:dyDescent="0.3">
      <c r="A27" s="31" t="s">
        <v>26</v>
      </c>
      <c r="B27" s="60">
        <f>'Interim Inc Statement Reported'!B27/'Interim Inc Statement US$'!B$7</f>
        <v>-66.218213238797418</v>
      </c>
      <c r="C27" s="60">
        <f>'Interim Inc Statement Reported'!C27/'Interim Inc Statement US$'!C$7</f>
        <v>-68.311010271048332</v>
      </c>
      <c r="D27" s="60">
        <f>'Interim Inc Statement Reported'!D27/'Interim Inc Statement US$'!D$7</f>
        <v>-68.117284186840351</v>
      </c>
      <c r="E27" s="60">
        <f>'Interim Inc Statement Reported'!E27/'Interim Inc Statement US$'!E$7</f>
        <v>-73.432442153219043</v>
      </c>
      <c r="F27" s="60">
        <f>'Interim Inc Statement Reported'!F27/'Interim Inc Statement US$'!F$7</f>
        <v>-81.507302908791871</v>
      </c>
      <c r="G27" s="60">
        <f>'Interim Inc Statement Reported'!G27/'Interim Inc Statement US$'!G$7</f>
        <v>-86.893780112186079</v>
      </c>
      <c r="H27" s="60">
        <f>'Interim Inc Statement Reported'!H27/'Interim Inc Statement US$'!H$7</f>
        <v>-90.520647145914694</v>
      </c>
      <c r="I27" s="60">
        <f>'Interim Inc Statement Reported'!I27/'Interim Inc Statement US$'!I$7</f>
        <v>-89.92131884600974</v>
      </c>
      <c r="J27" s="60">
        <f>'Interim Inc Statement Reported'!J27/'Interim Inc Statement US$'!J$7</f>
        <v>-92.164506088900978</v>
      </c>
      <c r="K27" s="60">
        <f>'Interim Inc Statement Reported'!K27/'Interim Inc Statement US$'!K$7</f>
        <v>-96.510764662212324</v>
      </c>
      <c r="L27" s="60">
        <f>'Interim Inc Statement Reported'!L27/'Interim Inc Statement US$'!L$7</f>
        <v>-99.695331068255413</v>
      </c>
      <c r="M27" s="60">
        <f>'Interim Inc Statement Reported'!M27/'Interim Inc Statement US$'!M$7</f>
        <v>-99.177877157482115</v>
      </c>
      <c r="N27" s="60">
        <f>'Interim Inc Statement Reported'!N27/'Interim Inc Statement US$'!N$7</f>
        <v>-98.885437512437932</v>
      </c>
      <c r="O27" s="60">
        <f>'Interim Inc Statement Reported'!O27/'Interim Inc Statement US$'!O$7</f>
        <v>-95.291503204094838</v>
      </c>
      <c r="P27" s="60">
        <f>'Interim Inc Statement Reported'!P27/'Interim Inc Statement US$'!P$7</f>
        <v>-104.81280879613101</v>
      </c>
      <c r="Q27" s="60">
        <f>'Interim Inc Statement Reported'!Q27/'Interim Inc Statement US$'!Q$7</f>
        <v>-100.69654754694126</v>
      </c>
      <c r="R27" s="60">
        <f>'Interim Inc Statement Reported'!R27/'Interim Inc Statement US$'!R$7</f>
        <v>0</v>
      </c>
      <c r="S27" s="60">
        <f>'Interim Inc Statement Reported'!S27/'Interim Inc Statement US$'!S$7</f>
        <v>0</v>
      </c>
      <c r="T27" s="60">
        <f>'Interim Inc Statement Reported'!T27/'Interim Inc Statement US$'!T$7</f>
        <v>0</v>
      </c>
      <c r="U27" s="60">
        <f>'Interim Inc Statement Reported'!U27/'Interim Inc Statement US$'!U$7</f>
        <v>0</v>
      </c>
      <c r="V27" s="60">
        <f>'Interim Inc Statement Reported'!V27/'Interim Inc Statement US$'!V$7</f>
        <v>0</v>
      </c>
      <c r="W27" s="60">
        <f>'Interim Inc Statement Reported'!W27/'Interim Inc Statement US$'!W$7</f>
        <v>0</v>
      </c>
      <c r="X27" s="60">
        <f>'Interim Inc Statement Reported'!X27/'Interim Inc Statement US$'!X$7</f>
        <v>0</v>
      </c>
      <c r="Y27" s="60">
        <f>'Interim Inc Statement Reported'!Y27/'Interim Inc Statement US$'!Y$7</f>
        <v>0</v>
      </c>
      <c r="Z27" s="60">
        <f>'Interim Inc Statement Reported'!Z27/'Interim Inc Statement US$'!Z$7</f>
        <v>0</v>
      </c>
      <c r="AA27" s="60">
        <f>'Interim Inc Statement Reported'!AA27/'Interim Inc Statement US$'!AA$7</f>
        <v>0</v>
      </c>
      <c r="AB27" s="60">
        <f>'Interim Inc Statement Reported'!AB27/'Interim Inc Statement US$'!AB$7</f>
        <v>0</v>
      </c>
      <c r="AC27" s="60" t="e">
        <f>'Interim Inc Statement Reported'!AC27/'Interim Inc Statement US$'!AC$7</f>
        <v>#DIV/0!</v>
      </c>
    </row>
    <row r="28" spans="1:29" x14ac:dyDescent="0.3">
      <c r="A28" s="14" t="s">
        <v>27</v>
      </c>
      <c r="B28" s="74">
        <f t="shared" ref="B28:K28" si="37">B26+B27</f>
        <v>285.06133260116445</v>
      </c>
      <c r="C28" s="74">
        <f t="shared" si="37"/>
        <v>387.90895118202445</v>
      </c>
      <c r="D28" s="74">
        <f t="shared" si="37"/>
        <v>750.05548879891626</v>
      </c>
      <c r="E28" s="74">
        <f t="shared" si="37"/>
        <v>261.50941134156591</v>
      </c>
      <c r="F28" s="74">
        <f t="shared" si="37"/>
        <v>244.52190872637561</v>
      </c>
      <c r="G28" s="74">
        <f t="shared" si="37"/>
        <v>371.62607744408206</v>
      </c>
      <c r="H28" s="74">
        <f t="shared" si="37"/>
        <v>856.11052724441322</v>
      </c>
      <c r="I28" s="74">
        <f t="shared" si="37"/>
        <v>240.5395279130754</v>
      </c>
      <c r="J28" s="74">
        <f t="shared" si="37"/>
        <v>154.11114132898177</v>
      </c>
      <c r="K28" s="74">
        <f t="shared" si="37"/>
        <v>388.27023014105407</v>
      </c>
      <c r="L28" s="74">
        <f t="shared" ref="L28:O28" si="38">L26+L27</f>
        <v>1015.2972515991125</v>
      </c>
      <c r="M28" s="74">
        <f t="shared" si="38"/>
        <v>297.53363147244607</v>
      </c>
      <c r="N28" s="74">
        <f t="shared" si="38"/>
        <v>200.14412552517382</v>
      </c>
      <c r="O28" s="74">
        <f t="shared" si="38"/>
        <v>390.46274483629145</v>
      </c>
      <c r="P28" s="74">
        <f t="shared" ref="P28:R28" si="39">P26+P27</f>
        <v>847.68315435119018</v>
      </c>
      <c r="Q28" s="74">
        <f t="shared" si="39"/>
        <v>294.51847365233175</v>
      </c>
      <c r="R28" s="74">
        <f t="shared" si="39"/>
        <v>438.43291254960241</v>
      </c>
      <c r="S28" s="74">
        <f t="shared" ref="S28:U28" si="40">S26+S27</f>
        <v>684.73930684233164</v>
      </c>
      <c r="T28" s="74">
        <f t="shared" si="40"/>
        <v>1114.8495127582514</v>
      </c>
      <c r="U28" s="74">
        <f t="shared" si="40"/>
        <v>503.78432939828554</v>
      </c>
      <c r="V28" s="74">
        <f t="shared" ref="V28:Y28" si="41">V26+V27</f>
        <v>52.918150279596375</v>
      </c>
      <c r="W28" s="74">
        <f t="shared" si="41"/>
        <v>-535.04393561589904</v>
      </c>
      <c r="X28" s="74">
        <f t="shared" si="41"/>
        <v>-271.40573298137326</v>
      </c>
      <c r="Y28" s="74">
        <f t="shared" si="41"/>
        <v>-435.40274754147583</v>
      </c>
      <c r="Z28" s="74">
        <f t="shared" ref="Z28:AA28" si="42">Z26+Z27</f>
        <v>-475.95132316013132</v>
      </c>
      <c r="AA28" s="74">
        <f t="shared" si="42"/>
        <v>-579.32692307692309</v>
      </c>
      <c r="AB28" s="74">
        <f t="shared" ref="AB28:AC28" si="43">AB26+AB27</f>
        <v>19.138755980861106</v>
      </c>
      <c r="AC28" s="74" t="e">
        <f t="shared" si="43"/>
        <v>#DIV/0!</v>
      </c>
    </row>
    <row r="29" spans="1:29" x14ac:dyDescent="0.3">
      <c r="A29" s="31" t="s">
        <v>28</v>
      </c>
      <c r="B29" s="60">
        <f>'Interim Inc Statement Reported'!B29/'Interim Inc Statement US$'!B$7</f>
        <v>-123.55349543336591</v>
      </c>
      <c r="C29" s="60">
        <f>'Interim Inc Statement Reported'!C29/'Interim Inc Statement US$'!C$7</f>
        <v>-143.94105735685184</v>
      </c>
      <c r="D29" s="60">
        <f>'Interim Inc Statement Reported'!D29/'Interim Inc Statement US$'!D$7</f>
        <v>-126.28485270593998</v>
      </c>
      <c r="E29" s="60">
        <f>'Interim Inc Statement Reported'!E29/'Interim Inc Statement US$'!E$7</f>
        <v>-119.88970147464333</v>
      </c>
      <c r="F29" s="60">
        <f>'Interim Inc Statement Reported'!F29/'Interim Inc Statement US$'!F$7</f>
        <v>-132.44936722678679</v>
      </c>
      <c r="G29" s="60">
        <f>'Interim Inc Statement Reported'!G29/'Interim Inc Statement US$'!G$7</f>
        <v>-156.71913913090705</v>
      </c>
      <c r="H29" s="60">
        <f>'Interim Inc Statement Reported'!H29/'Interim Inc Statement US$'!H$7</f>
        <v>-168.76730823814603</v>
      </c>
      <c r="I29" s="60">
        <f>'Interim Inc Statement Reported'!I29/'Interim Inc Statement US$'!I$7</f>
        <v>-158.86099662795053</v>
      </c>
      <c r="J29" s="60">
        <f>'Interim Inc Statement Reported'!J29/'Interim Inc Statement US$'!J$7</f>
        <v>-172.24186383827396</v>
      </c>
      <c r="K29" s="60">
        <f>'Interim Inc Statement Reported'!K29/'Interim Inc Statement US$'!K$7</f>
        <v>-179.65850037119526</v>
      </c>
      <c r="L29" s="60">
        <f>'Interim Inc Statement Reported'!L29/'Interim Inc Statement US$'!L$7</f>
        <v>-192.21259829959644</v>
      </c>
      <c r="M29" s="60">
        <f>'Interim Inc Statement Reported'!M29/'Interim Inc Statement US$'!M$7</f>
        <v>-192.84587225065968</v>
      </c>
      <c r="N29" s="60">
        <f>'Interim Inc Statement Reported'!N29/'Interim Inc Statement US$'!N$7</f>
        <v>-211.21929452656741</v>
      </c>
      <c r="O29" s="60">
        <f>'Interim Inc Statement Reported'!O29/'Interim Inc Statement US$'!O$7</f>
        <v>-215.37429179462086</v>
      </c>
      <c r="P29" s="60">
        <f>'Interim Inc Statement Reported'!P29/'Interim Inc Statement US$'!P$7</f>
        <v>-205.03527560119059</v>
      </c>
      <c r="Q29" s="60">
        <f>'Interim Inc Statement Reported'!Q29/'Interim Inc Statement US$'!Q$7</f>
        <v>-202.15021199273173</v>
      </c>
      <c r="R29" s="60">
        <f>'Interim Inc Statement Reported'!R29/'Interim Inc Statement US$'!R$7</f>
        <v>-342.92522834068319</v>
      </c>
      <c r="S29" s="60">
        <f>'Interim Inc Statement Reported'!S29/'Interim Inc Statement US$'!S$7</f>
        <v>-369.28080521846317</v>
      </c>
      <c r="T29" s="60">
        <f>'Interim Inc Statement Reported'!T29/'Interim Inc Statement US$'!T$7</f>
        <v>-390.80322593971329</v>
      </c>
      <c r="U29" s="60">
        <f>'Interim Inc Statement Reported'!U29/'Interim Inc Statement US$'!U$7</f>
        <v>-393.93661847685468</v>
      </c>
      <c r="V29" s="60">
        <f>'Interim Inc Statement Reported'!V29/'Interim Inc Statement US$'!V$7</f>
        <v>-375.64433437910867</v>
      </c>
      <c r="W29" s="60">
        <f>'Interim Inc Statement Reported'!W29/'Interim Inc Statement US$'!W$7</f>
        <v>-351.16765046488251</v>
      </c>
      <c r="X29" s="60">
        <f>'Interim Inc Statement Reported'!X29/'Interim Inc Statement US$'!X$7</f>
        <v>-312.30248726623785</v>
      </c>
      <c r="Y29" s="60">
        <f>'Interim Inc Statement Reported'!Y29/'Interim Inc Statement US$'!Y$7</f>
        <v>-328.80414383304554</v>
      </c>
      <c r="Z29" s="60">
        <f>'Interim Inc Statement Reported'!Z29/'Interim Inc Statement US$'!Z$7</f>
        <v>-319.10372802781535</v>
      </c>
      <c r="AA29" s="60">
        <f>'Interim Inc Statement Reported'!AA29/'Interim Inc Statement US$'!AA$7</f>
        <v>-323.71794871794873</v>
      </c>
      <c r="AB29" s="60">
        <f>'Interim Inc Statement Reported'!AB29/'Interim Inc Statement US$'!AB$7</f>
        <v>-318.97926634768737</v>
      </c>
      <c r="AC29" s="60" t="e">
        <f>'Interim Inc Statement Reported'!AC29/'Interim Inc Statement US$'!AC$7</f>
        <v>#DIV/0!</v>
      </c>
    </row>
    <row r="30" spans="1:29" x14ac:dyDescent="0.3">
      <c r="A30" s="14" t="s">
        <v>29</v>
      </c>
      <c r="B30" s="74">
        <f t="shared" ref="B30:K30" si="44">B28+B29</f>
        <v>161.50783716779853</v>
      </c>
      <c r="C30" s="74">
        <f t="shared" si="44"/>
        <v>243.96789382517261</v>
      </c>
      <c r="D30" s="74">
        <f t="shared" si="44"/>
        <v>623.77063609297625</v>
      </c>
      <c r="E30" s="74">
        <f t="shared" si="44"/>
        <v>141.61970986692256</v>
      </c>
      <c r="F30" s="74">
        <f t="shared" si="44"/>
        <v>112.07254149958882</v>
      </c>
      <c r="G30" s="74">
        <f t="shared" si="44"/>
        <v>214.906938313175</v>
      </c>
      <c r="H30" s="74">
        <f t="shared" si="44"/>
        <v>687.34321900626719</v>
      </c>
      <c r="I30" s="74">
        <f t="shared" si="44"/>
        <v>81.678531285124876</v>
      </c>
      <c r="J30" s="74">
        <f t="shared" si="44"/>
        <v>-18.130722509292184</v>
      </c>
      <c r="K30" s="74">
        <f t="shared" si="44"/>
        <v>208.61172976985881</v>
      </c>
      <c r="L30" s="74">
        <f t="shared" ref="L30:O30" si="45">L28+L29</f>
        <v>823.08465329951605</v>
      </c>
      <c r="M30" s="74">
        <f t="shared" si="45"/>
        <v>104.68775922178639</v>
      </c>
      <c r="N30" s="74">
        <f t="shared" si="45"/>
        <v>-11.07516900139359</v>
      </c>
      <c r="O30" s="74">
        <f t="shared" si="45"/>
        <v>175.08845304167059</v>
      </c>
      <c r="P30" s="74">
        <f t="shared" ref="P30:R30" si="46">P28+P29</f>
        <v>642.64787874999956</v>
      </c>
      <c r="Q30" s="74">
        <f t="shared" si="46"/>
        <v>92.368261659600023</v>
      </c>
      <c r="R30" s="74">
        <f t="shared" si="46"/>
        <v>95.507684208919216</v>
      </c>
      <c r="S30" s="74">
        <f t="shared" ref="S30:U30" si="47">S28+S29</f>
        <v>315.45850162386847</v>
      </c>
      <c r="T30" s="74">
        <f t="shared" si="47"/>
        <v>724.04628681853819</v>
      </c>
      <c r="U30" s="74">
        <f t="shared" si="47"/>
        <v>109.84771092143086</v>
      </c>
      <c r="V30" s="74">
        <f t="shared" ref="V30:Y30" si="48">V28+V29</f>
        <v>-322.7261840995123</v>
      </c>
      <c r="W30" s="74">
        <f t="shared" si="48"/>
        <v>-886.21158608078156</v>
      </c>
      <c r="X30" s="74">
        <f t="shared" si="48"/>
        <v>-583.70822024761105</v>
      </c>
      <c r="Y30" s="74">
        <f t="shared" si="48"/>
        <v>-764.20689137452132</v>
      </c>
      <c r="Z30" s="74">
        <f t="shared" ref="Z30:AA30" si="49">Z28+Z29</f>
        <v>-795.05505118794667</v>
      </c>
      <c r="AA30" s="74">
        <f t="shared" si="49"/>
        <v>-903.04487179487182</v>
      </c>
      <c r="AB30" s="74">
        <f t="shared" ref="AB30:AC30" si="50">AB28+AB29</f>
        <v>-299.84051036682627</v>
      </c>
      <c r="AC30" s="74" t="e">
        <f t="shared" si="50"/>
        <v>#DIV/0!</v>
      </c>
    </row>
    <row r="31" spans="1:29" x14ac:dyDescent="0.3">
      <c r="A31" s="31" t="s">
        <v>30</v>
      </c>
      <c r="B31" s="58">
        <f>'Interim Inc Statement Reported'!B31/'Interim Inc Statement US$'!B$7</f>
        <v>0</v>
      </c>
      <c r="C31" s="58">
        <f>'Interim Inc Statement Reported'!C31/'Interim Inc Statement US$'!C$7</f>
        <v>0</v>
      </c>
      <c r="D31" s="58">
        <f>'Interim Inc Statement Reported'!D31/'Interim Inc Statement US$'!D$7</f>
        <v>0</v>
      </c>
      <c r="E31" s="58">
        <f>'Interim Inc Statement Reported'!E31/'Interim Inc Statement US$'!E$7</f>
        <v>0</v>
      </c>
      <c r="F31" s="58">
        <f>'Interim Inc Statement Reported'!F31/'Interim Inc Statement US$'!F$7</f>
        <v>0</v>
      </c>
      <c r="G31" s="58">
        <f>'Interim Inc Statement Reported'!G31/'Interim Inc Statement US$'!G$7</f>
        <v>0</v>
      </c>
      <c r="H31" s="58">
        <f>'Interim Inc Statement Reported'!H31/'Interim Inc Statement US$'!H$7</f>
        <v>0</v>
      </c>
      <c r="I31" s="58">
        <f>'Interim Inc Statement Reported'!I31/'Interim Inc Statement US$'!I$7</f>
        <v>0</v>
      </c>
      <c r="J31" s="58">
        <f>'Interim Inc Statement Reported'!J31/'Interim Inc Statement US$'!J$7</f>
        <v>0</v>
      </c>
      <c r="K31" s="58">
        <f>'Interim Inc Statement Reported'!K31/'Interim Inc Statement US$'!K$7</f>
        <v>0</v>
      </c>
      <c r="L31" s="58">
        <f>'Interim Inc Statement Reported'!L31/'Interim Inc Statement US$'!L$7</f>
        <v>0</v>
      </c>
      <c r="M31" s="58">
        <f>'Interim Inc Statement Reported'!M31/'Interim Inc Statement US$'!M$7</f>
        <v>0</v>
      </c>
      <c r="N31" s="58">
        <f>'Interim Inc Statement Reported'!N31/'Interim Inc Statement US$'!N$7</f>
        <v>0</v>
      </c>
      <c r="O31" s="58">
        <f>'Interim Inc Statement Reported'!O31/'Interim Inc Statement US$'!O$7</f>
        <v>0</v>
      </c>
      <c r="P31" s="58">
        <f>'Interim Inc Statement Reported'!P31/'Interim Inc Statement US$'!P$7</f>
        <v>0</v>
      </c>
      <c r="Q31" s="58">
        <f>'Interim Inc Statement Reported'!Q31/'Interim Inc Statement US$'!Q$7</f>
        <v>0</v>
      </c>
      <c r="R31" s="58">
        <f>'Interim Inc Statement Reported'!R31/'Interim Inc Statement US$'!R$7</f>
        <v>0</v>
      </c>
      <c r="S31" s="58">
        <f>'Interim Inc Statement Reported'!S31/'Interim Inc Statement US$'!S$7</f>
        <v>0</v>
      </c>
      <c r="T31" s="58">
        <f>'Interim Inc Statement Reported'!T31/'Interim Inc Statement US$'!T$7</f>
        <v>0</v>
      </c>
      <c r="U31" s="58">
        <f>'Interim Inc Statement Reported'!U31/'Interim Inc Statement US$'!U$7</f>
        <v>0</v>
      </c>
      <c r="V31" s="58">
        <f>'Interim Inc Statement Reported'!V31/'Interim Inc Statement US$'!V$7</f>
        <v>0</v>
      </c>
      <c r="W31" s="58">
        <f>'Interim Inc Statement Reported'!W31/'Interim Inc Statement US$'!W$7</f>
        <v>0</v>
      </c>
      <c r="X31" s="58">
        <f>'Interim Inc Statement Reported'!X31/'Interim Inc Statement US$'!X$7</f>
        <v>0</v>
      </c>
      <c r="Y31" s="58">
        <f>'Interim Inc Statement Reported'!Y31/'Interim Inc Statement US$'!Y$7</f>
        <v>0</v>
      </c>
      <c r="Z31" s="58">
        <f>'Interim Inc Statement Reported'!Z31/'Interim Inc Statement US$'!Z$7</f>
        <v>0</v>
      </c>
      <c r="AA31" s="58">
        <f>'Interim Inc Statement Reported'!AA31/'Interim Inc Statement US$'!AA$7</f>
        <v>0</v>
      </c>
      <c r="AB31" s="58">
        <f>'Interim Inc Statement Reported'!AB31/'Interim Inc Statement US$'!AB$7</f>
        <v>0</v>
      </c>
      <c r="AC31" s="58" t="e">
        <f>'Interim Inc Statement Reported'!AC31/'Interim Inc Statement US$'!AC$7</f>
        <v>#DIV/0!</v>
      </c>
    </row>
    <row r="32" spans="1:29" x14ac:dyDescent="0.3">
      <c r="A32" s="31" t="s">
        <v>31</v>
      </c>
      <c r="B32" s="58">
        <f>'Interim Inc Statement Reported'!B32/'Interim Inc Statement US$'!B$7</f>
        <v>0</v>
      </c>
      <c r="C32" s="58">
        <f>'Interim Inc Statement Reported'!C32/'Interim Inc Statement US$'!C$7</f>
        <v>0</v>
      </c>
      <c r="D32" s="58">
        <f>'Interim Inc Statement Reported'!D32/'Interim Inc Statement US$'!D$7</f>
        <v>0</v>
      </c>
      <c r="E32" s="58">
        <f>'Interim Inc Statement Reported'!E32/'Interim Inc Statement US$'!E$7</f>
        <v>0</v>
      </c>
      <c r="F32" s="58">
        <f>'Interim Inc Statement Reported'!F32/'Interim Inc Statement US$'!F$7</f>
        <v>0</v>
      </c>
      <c r="G32" s="58">
        <f>'Interim Inc Statement Reported'!G32/'Interim Inc Statement US$'!G$7</f>
        <v>14.740909126174424</v>
      </c>
      <c r="H32" s="58">
        <f>'Interim Inc Statement Reported'!H32/'Interim Inc Statement US$'!H$7</f>
        <v>0</v>
      </c>
      <c r="I32" s="58">
        <f>'Interim Inc Statement Reported'!I32/'Interim Inc Statement US$'!I$7</f>
        <v>-14.237542150618209</v>
      </c>
      <c r="J32" s="58">
        <f>'Interim Inc Statement Reported'!J32/'Interim Inc Statement US$'!J$7</f>
        <v>0</v>
      </c>
      <c r="K32" s="58">
        <f>'Interim Inc Statement Reported'!K32/'Interim Inc Statement US$'!K$7</f>
        <v>19.302152932442464</v>
      </c>
      <c r="L32" s="58">
        <f>'Interim Inc Statement Reported'!L32/'Interim Inc Statement US$'!L$7</f>
        <v>0</v>
      </c>
      <c r="M32" s="58">
        <f>'Interim Inc Statement Reported'!M32/'Interim Inc Statement US$'!M$7</f>
        <v>20.465276238845515</v>
      </c>
      <c r="N32" s="58">
        <f>'Interim Inc Statement Reported'!N32/'Interim Inc Statement US$'!N$7</f>
        <v>0</v>
      </c>
      <c r="O32" s="58">
        <f>'Interim Inc Statement Reported'!O32/'Interim Inc Statement US$'!O$7</f>
        <v>-144.09934630863123</v>
      </c>
      <c r="P32" s="58">
        <f>'Interim Inc Statement Reported'!P32/'Interim Inc Statement US$'!P$7</f>
        <v>-1.5301139970238105</v>
      </c>
      <c r="Q32" s="58">
        <f>'Interim Inc Statement Reported'!Q32/'Interim Inc Statement US$'!Q$7</f>
        <v>0</v>
      </c>
      <c r="R32" s="58">
        <f>'Interim Inc Statement Reported'!R32/'Interim Inc Statement US$'!R$7</f>
        <v>0</v>
      </c>
      <c r="S32" s="58">
        <f>'Interim Inc Statement Reported'!S32/'Interim Inc Statement US$'!S$7</f>
        <v>0</v>
      </c>
      <c r="T32" s="58">
        <f>'Interim Inc Statement Reported'!T32/'Interim Inc Statement US$'!T$7</f>
        <v>0</v>
      </c>
      <c r="U32" s="58">
        <f>'Interim Inc Statement Reported'!U32/'Interim Inc Statement US$'!U$7</f>
        <v>9.848415461921368</v>
      </c>
      <c r="V32" s="58">
        <f>'Interim Inc Statement Reported'!V32/'Interim Inc Statement US$'!V$7</f>
        <v>0</v>
      </c>
      <c r="W32" s="58">
        <f>'Interim Inc Statement Reported'!W32/'Interim Inc Statement US$'!W$7</f>
        <v>0</v>
      </c>
      <c r="X32" s="58">
        <f>'Interim Inc Statement Reported'!X32/'Interim Inc Statement US$'!X$7</f>
        <v>0</v>
      </c>
      <c r="Y32" s="58">
        <f>'Interim Inc Statement Reported'!Y32/'Interim Inc Statement US$'!Y$7</f>
        <v>13.51249906163201</v>
      </c>
      <c r="Z32" s="58">
        <f>'Interim Inc Statement Reported'!Z32/'Interim Inc Statement US$'!Z$7</f>
        <v>0</v>
      </c>
      <c r="AA32" s="58">
        <f>'Interim Inc Statement Reported'!AA32/'Interim Inc Statement US$'!AA$7</f>
        <v>0</v>
      </c>
      <c r="AB32" s="58">
        <f>'Interim Inc Statement Reported'!AB32/'Interim Inc Statement US$'!AB$7</f>
        <v>0</v>
      </c>
      <c r="AC32" s="58" t="e">
        <f>'Interim Inc Statement Reported'!AC32/'Interim Inc Statement US$'!AC$7</f>
        <v>#DIV/0!</v>
      </c>
    </row>
    <row r="33" spans="1:29" x14ac:dyDescent="0.3">
      <c r="A33" s="31" t="s">
        <v>32</v>
      </c>
      <c r="B33" s="58">
        <f>'Interim Inc Statement Reported'!B33/'Interim Inc Statement US$'!B$7</f>
        <v>0</v>
      </c>
      <c r="C33" s="58">
        <f>'Interim Inc Statement Reported'!C33/'Interim Inc Statement US$'!C$7</f>
        <v>0</v>
      </c>
      <c r="D33" s="58">
        <f>'Interim Inc Statement Reported'!D33/'Interim Inc Statement US$'!D$7</f>
        <v>0</v>
      </c>
      <c r="E33" s="58">
        <f>'Interim Inc Statement Reported'!E33/'Interim Inc Statement US$'!E$7</f>
        <v>0</v>
      </c>
      <c r="F33" s="58">
        <f>'Interim Inc Statement Reported'!F33/'Interim Inc Statement US$'!F$7</f>
        <v>0</v>
      </c>
      <c r="G33" s="58">
        <f>'Interim Inc Statement Reported'!G33/'Interim Inc Statement US$'!G$7</f>
        <v>0</v>
      </c>
      <c r="H33" s="58">
        <f>'Interim Inc Statement Reported'!H33/'Interim Inc Statement US$'!H$7</f>
        <v>0</v>
      </c>
      <c r="I33" s="58">
        <f>'Interim Inc Statement Reported'!I33/'Interim Inc Statement US$'!I$7</f>
        <v>0</v>
      </c>
      <c r="J33" s="58">
        <f>'Interim Inc Statement Reported'!J33/'Interim Inc Statement US$'!J$7</f>
        <v>0</v>
      </c>
      <c r="K33" s="58">
        <f>'Interim Inc Statement Reported'!K33/'Interim Inc Statement US$'!K$7</f>
        <v>0</v>
      </c>
      <c r="L33" s="58">
        <f>'Interim Inc Statement Reported'!L33/'Interim Inc Statement US$'!L$7</f>
        <v>0</v>
      </c>
      <c r="M33" s="58">
        <f>'Interim Inc Statement Reported'!M33/'Interim Inc Statement US$'!M$7</f>
        <v>0</v>
      </c>
      <c r="N33" s="58">
        <f>'Interim Inc Statement Reported'!N33/'Interim Inc Statement US$'!N$7</f>
        <v>0</v>
      </c>
      <c r="O33" s="58">
        <f>'Interim Inc Statement Reported'!O33/'Interim Inc Statement US$'!O$7</f>
        <v>0</v>
      </c>
      <c r="P33" s="58">
        <f>'Interim Inc Statement Reported'!P33/'Interim Inc Statement US$'!P$7</f>
        <v>0</v>
      </c>
      <c r="Q33" s="58">
        <f>'Interim Inc Statement Reported'!Q33/'Interim Inc Statement US$'!Q$7</f>
        <v>0</v>
      </c>
      <c r="R33" s="58">
        <f>'Interim Inc Statement Reported'!R33/'Interim Inc Statement US$'!R$7</f>
        <v>0</v>
      </c>
      <c r="S33" s="58">
        <f>'Interim Inc Statement Reported'!S33/'Interim Inc Statement US$'!S$7</f>
        <v>0</v>
      </c>
      <c r="T33" s="58">
        <f>'Interim Inc Statement Reported'!T33/'Interim Inc Statement US$'!T$7</f>
        <v>0</v>
      </c>
      <c r="U33" s="58">
        <f>'Interim Inc Statement Reported'!U33/'Interim Inc Statement US$'!U$7</f>
        <v>0</v>
      </c>
      <c r="V33" s="58">
        <f>'Interim Inc Statement Reported'!V33/'Interim Inc Statement US$'!V$7</f>
        <v>0</v>
      </c>
      <c r="W33" s="58">
        <f>'Interim Inc Statement Reported'!W33/'Interim Inc Statement US$'!W$7</f>
        <v>0</v>
      </c>
      <c r="X33" s="58">
        <f>'Interim Inc Statement Reported'!X33/'Interim Inc Statement US$'!X$7</f>
        <v>0</v>
      </c>
      <c r="Y33" s="58">
        <f>'Interim Inc Statement Reported'!Y33/'Interim Inc Statement US$'!Y$7</f>
        <v>0</v>
      </c>
      <c r="Z33" s="58">
        <f>'Interim Inc Statement Reported'!Z33/'Interim Inc Statement US$'!Z$7</f>
        <v>0</v>
      </c>
      <c r="AA33" s="58">
        <f>'Interim Inc Statement Reported'!AA33/'Interim Inc Statement US$'!AA$7</f>
        <v>0</v>
      </c>
      <c r="AB33" s="58">
        <f>'Interim Inc Statement Reported'!AB33/'Interim Inc Statement US$'!AB$7</f>
        <v>0</v>
      </c>
      <c r="AC33" s="58" t="e">
        <f>'Interim Inc Statement Reported'!AC33/'Interim Inc Statement US$'!AC$7</f>
        <v>#DIV/0!</v>
      </c>
    </row>
    <row r="34" spans="1:29" x14ac:dyDescent="0.3">
      <c r="A34" s="31" t="s">
        <v>33</v>
      </c>
      <c r="B34" s="58">
        <f>'Interim Inc Statement Reported'!B34/'Interim Inc Statement US$'!B$7</f>
        <v>0</v>
      </c>
      <c r="C34" s="58">
        <f>'Interim Inc Statement Reported'!C34/'Interim Inc Statement US$'!C$7</f>
        <v>0</v>
      </c>
      <c r="D34" s="58">
        <f>'Interim Inc Statement Reported'!D34/'Interim Inc Statement US$'!D$7</f>
        <v>0</v>
      </c>
      <c r="E34" s="58">
        <f>'Interim Inc Statement Reported'!E34/'Interim Inc Statement US$'!E$7</f>
        <v>0</v>
      </c>
      <c r="F34" s="58">
        <f>'Interim Inc Statement Reported'!F34/'Interim Inc Statement US$'!F$7</f>
        <v>0</v>
      </c>
      <c r="G34" s="58">
        <f>'Interim Inc Statement Reported'!G34/'Interim Inc Statement US$'!G$7</f>
        <v>0</v>
      </c>
      <c r="H34" s="58">
        <f>'Interim Inc Statement Reported'!H34/'Interim Inc Statement US$'!H$7</f>
        <v>0</v>
      </c>
      <c r="I34" s="58">
        <f>'Interim Inc Statement Reported'!I34/'Interim Inc Statement US$'!I$7</f>
        <v>0</v>
      </c>
      <c r="J34" s="58">
        <f>'Interim Inc Statement Reported'!J34/'Interim Inc Statement US$'!J$7</f>
        <v>0</v>
      </c>
      <c r="K34" s="58">
        <f>'Interim Inc Statement Reported'!K34/'Interim Inc Statement US$'!K$7</f>
        <v>0</v>
      </c>
      <c r="L34" s="58">
        <f>'Interim Inc Statement Reported'!L34/'Interim Inc Statement US$'!L$7</f>
        <v>0</v>
      </c>
      <c r="M34" s="58">
        <f>'Interim Inc Statement Reported'!M34/'Interim Inc Statement US$'!M$7</f>
        <v>0</v>
      </c>
      <c r="N34" s="58">
        <f>'Interim Inc Statement Reported'!N34/'Interim Inc Statement US$'!N$7</f>
        <v>0</v>
      </c>
      <c r="O34" s="58">
        <f>'Interim Inc Statement Reported'!O34/'Interim Inc Statement US$'!O$7</f>
        <v>0</v>
      </c>
      <c r="P34" s="58">
        <f>'Interim Inc Statement Reported'!P34/'Interim Inc Statement US$'!P$7</f>
        <v>0</v>
      </c>
      <c r="Q34" s="58">
        <f>'Interim Inc Statement Reported'!Q34/'Interim Inc Statement US$'!Q$7</f>
        <v>0</v>
      </c>
      <c r="R34" s="58">
        <f>'Interim Inc Statement Reported'!R34/'Interim Inc Statement US$'!R$7</f>
        <v>0</v>
      </c>
      <c r="S34" s="58">
        <f>'Interim Inc Statement Reported'!S34/'Interim Inc Statement US$'!S$7</f>
        <v>0</v>
      </c>
      <c r="T34" s="58">
        <f>'Interim Inc Statement Reported'!T34/'Interim Inc Statement US$'!T$7</f>
        <v>0</v>
      </c>
      <c r="U34" s="58">
        <f>'Interim Inc Statement Reported'!U34/'Interim Inc Statement US$'!U$7</f>
        <v>0</v>
      </c>
      <c r="V34" s="58">
        <f>'Interim Inc Statement Reported'!V34/'Interim Inc Statement US$'!V$7</f>
        <v>0</v>
      </c>
      <c r="W34" s="58">
        <f>'Interim Inc Statement Reported'!W34/'Interim Inc Statement US$'!W$7</f>
        <v>-237.95754548955077</v>
      </c>
      <c r="X34" s="58">
        <f>'Interim Inc Statement Reported'!X34/'Interim Inc Statement US$'!X$7</f>
        <v>0</v>
      </c>
      <c r="Y34" s="58">
        <f>'Interim Inc Statement Reported'!Y34/'Interim Inc Statement US$'!Y$7</f>
        <v>11.260415884693341</v>
      </c>
      <c r="Z34" s="58">
        <f>'Interim Inc Statement Reported'!Z34/'Interim Inc Statement US$'!Z$7</f>
        <v>-15.452965037666603</v>
      </c>
      <c r="AA34" s="58">
        <f>'Interim Inc Statement Reported'!AA34/'Interim Inc Statement US$'!AA$7</f>
        <v>-4.8076923076923075</v>
      </c>
      <c r="AB34" s="58">
        <f>'Interim Inc Statement Reported'!AB34/'Interim Inc Statement US$'!AB$7</f>
        <v>9.5693779904306222</v>
      </c>
      <c r="AC34" s="58" t="e">
        <f>'Interim Inc Statement Reported'!AC34/'Interim Inc Statement US$'!AC$7</f>
        <v>#DIV/0!</v>
      </c>
    </row>
    <row r="35" spans="1:29" x14ac:dyDescent="0.3">
      <c r="A35" s="31" t="s">
        <v>34</v>
      </c>
      <c r="B35" s="58">
        <f>'Interim Inc Statement Reported'!B35/'Interim Inc Statement US$'!B$7</f>
        <v>0</v>
      </c>
      <c r="C35" s="58">
        <f>'Interim Inc Statement Reported'!C35/'Interim Inc Statement US$'!C$7</f>
        <v>0</v>
      </c>
      <c r="D35" s="58">
        <f>'Interim Inc Statement Reported'!D35/'Interim Inc Statement US$'!D$7</f>
        <v>0</v>
      </c>
      <c r="E35" s="58">
        <f>'Interim Inc Statement Reported'!E35/'Interim Inc Statement US$'!E$7</f>
        <v>-5.9944850737321662</v>
      </c>
      <c r="F35" s="58">
        <f>'Interim Inc Statement Reported'!F35/'Interim Inc Statement US$'!F$7</f>
        <v>0</v>
      </c>
      <c r="G35" s="58">
        <f>'Interim Inc Statement Reported'!G35/'Interim Inc Statement US$'!G$7</f>
        <v>0</v>
      </c>
      <c r="H35" s="58">
        <f>'Interim Inc Statement Reported'!H35/'Interim Inc Statement US$'!H$7</f>
        <v>0</v>
      </c>
      <c r="I35" s="58">
        <f>'Interim Inc Statement Reported'!I35/'Interim Inc Statement US$'!I$7</f>
        <v>-68.190333458224046</v>
      </c>
      <c r="J35" s="58">
        <f>'Interim Inc Statement Reported'!J35/'Interim Inc Statement US$'!J$7</f>
        <v>-22.663403136614996</v>
      </c>
      <c r="K35" s="58">
        <f>'Interim Inc Statement Reported'!K35/'Interim Inc Statement US$'!K$7</f>
        <v>0</v>
      </c>
      <c r="L35" s="58">
        <f>'Interim Inc Statement Reported'!L35/'Interim Inc Statement US$'!L$7</f>
        <v>0</v>
      </c>
      <c r="M35" s="58">
        <f>'Interim Inc Statement Reported'!M35/'Interim Inc Statement US$'!M$7</f>
        <v>23.61378027559098</v>
      </c>
      <c r="N35" s="58">
        <f>'Interim Inc Statement Reported'!N35/'Interim Inc Statement US$'!N$7</f>
        <v>0</v>
      </c>
      <c r="O35" s="58">
        <f>'Interim Inc Statement Reported'!O35/'Interim Inc Statement US$'!O$7</f>
        <v>0</v>
      </c>
      <c r="P35" s="58">
        <f>'Interim Inc Statement Reported'!P35/'Interim Inc Statement US$'!P$7</f>
        <v>0</v>
      </c>
      <c r="Q35" s="58">
        <f>'Interim Inc Statement Reported'!Q35/'Interim Inc Statement US$'!Q$7</f>
        <v>0</v>
      </c>
      <c r="R35" s="58">
        <f>'Interim Inc Statement Reported'!R35/'Interim Inc Statement US$'!R$7</f>
        <v>0</v>
      </c>
      <c r="S35" s="58">
        <f>'Interim Inc Statement Reported'!S35/'Interim Inc Statement US$'!S$7</f>
        <v>0</v>
      </c>
      <c r="T35" s="58">
        <f>'Interim Inc Statement Reported'!T35/'Interim Inc Statement US$'!T$7</f>
        <v>0</v>
      </c>
      <c r="U35" s="58">
        <f>'Interim Inc Statement Reported'!U35/'Interim Inc Statement US$'!U$7</f>
        <v>0</v>
      </c>
      <c r="V35" s="58">
        <f>'Interim Inc Statement Reported'!V35/'Interim Inc Statement US$'!V$7</f>
        <v>0</v>
      </c>
      <c r="W35" s="58">
        <f>'Interim Inc Statement Reported'!W35/'Interim Inc Statement US$'!W$7</f>
        <v>2.8843338847218276</v>
      </c>
      <c r="X35" s="58">
        <f>'Interim Inc Statement Reported'!X35/'Interim Inc Statement US$'!X$7</f>
        <v>0</v>
      </c>
      <c r="Y35" s="58">
        <f>'Interim Inc Statement Reported'!Y35/'Interim Inc Statement US$'!Y$7</f>
        <v>-3.0027775692515575</v>
      </c>
      <c r="Z35" s="58">
        <f>'Interim Inc Statement Reported'!Z35/'Interim Inc Statement US$'!Z$7</f>
        <v>0</v>
      </c>
      <c r="AA35" s="58">
        <f>'Interim Inc Statement Reported'!AA35/'Interim Inc Statement US$'!AA$7</f>
        <v>0</v>
      </c>
      <c r="AB35" s="58">
        <f>'Interim Inc Statement Reported'!AB35/'Interim Inc Statement US$'!AB$7</f>
        <v>0</v>
      </c>
      <c r="AC35" s="58" t="e">
        <f>'Interim Inc Statement Reported'!AC35/'Interim Inc Statement US$'!AC$7</f>
        <v>#DIV/0!</v>
      </c>
    </row>
    <row r="36" spans="1:29" x14ac:dyDescent="0.3">
      <c r="A36" s="31" t="s">
        <v>35</v>
      </c>
      <c r="B36" s="60">
        <f>'Interim Inc Statement Reported'!B36/'Interim Inc Statement US$'!B$7</f>
        <v>-20.188479645974823</v>
      </c>
      <c r="C36" s="60">
        <f>'Interim Inc Statement Reported'!C36/'Interim Inc Statement US$'!C$7</f>
        <v>-1.6264526255011507</v>
      </c>
      <c r="D36" s="60">
        <f>'Interim Inc Statement Reported'!D36/'Interim Inc Statement US$'!D$7</f>
        <v>-25.256970541187997</v>
      </c>
      <c r="E36" s="60">
        <f>'Interim Inc Statement Reported'!E36/'Interim Inc Statement US$'!E$7</f>
        <v>-33.718978539743439</v>
      </c>
      <c r="F36" s="60">
        <f>'Interim Inc Statement Reported'!F36/'Interim Inc Statement US$'!F$7</f>
        <v>-21.832313279140681</v>
      </c>
      <c r="G36" s="60">
        <f>'Interim Inc Statement Reported'!G36/'Interim Inc Statement US$'!G$7</f>
        <v>-13.189234481313958</v>
      </c>
      <c r="H36" s="60">
        <f>'Interim Inc Statement Reported'!H36/'Interim Inc Statement US$'!H$7</f>
        <v>-14.575358438748975</v>
      </c>
      <c r="I36" s="60">
        <f>'Interim Inc Statement Reported'!I36/'Interim Inc Statement US$'!I$7</f>
        <v>6.7440989134507303</v>
      </c>
      <c r="J36" s="60">
        <f>'Interim Inc Statement Reported'!J36/'Interim Inc Statement US$'!J$7</f>
        <v>3.777233856102499</v>
      </c>
      <c r="K36" s="60">
        <f>'Interim Inc Statement Reported'!K36/'Interim Inc Statement US$'!K$7</f>
        <v>-4.4543429844097995</v>
      </c>
      <c r="L36" s="60">
        <f>'Interim Inc Statement Reported'!L36/'Interim Inc Statement US$'!L$7</f>
        <v>0</v>
      </c>
      <c r="M36" s="60">
        <f>'Interim Inc Statement Reported'!M36/'Interim Inc Statement US$'!M$7</f>
        <v>-22.826654266404613</v>
      </c>
      <c r="N36" s="60">
        <f>'Interim Inc Statement Reported'!N36/'Interim Inc Statement US$'!N$7</f>
        <v>0</v>
      </c>
      <c r="O36" s="60">
        <f>'Interim Inc Statement Reported'!O36/'Interim Inc Statement US$'!O$7</f>
        <v>-8.5220043515857178</v>
      </c>
      <c r="P36" s="60">
        <f>'Interim Inc Statement Reported'!P36/'Interim Inc Statement US$'!P$7</f>
        <v>-4.5903419910714316</v>
      </c>
      <c r="Q36" s="60">
        <f>'Interim Inc Statement Reported'!Q36/'Interim Inc Statement US$'!Q$7</f>
        <v>-12.870987280436102</v>
      </c>
      <c r="R36" s="60">
        <f>'Interim Inc Statement Reported'!R36/'Interim Inc Statement US$'!R$7</f>
        <v>0</v>
      </c>
      <c r="S36" s="60">
        <f>'Interim Inc Statement Reported'!S36/'Interim Inc Statement US$'!S$7</f>
        <v>-11.21297991554038</v>
      </c>
      <c r="T36" s="60">
        <f>'Interim Inc Statement Reported'!T36/'Interim Inc Statement US$'!T$7</f>
        <v>-17.419523636847686</v>
      </c>
      <c r="U36" s="60">
        <f>'Interim Inc Statement Reported'!U36/'Interim Inc Statement US$'!U$7</f>
        <v>-17.424119663399342</v>
      </c>
      <c r="V36" s="60">
        <f>'Interim Inc Statement Reported'!V36/'Interim Inc Statement US$'!V$7</f>
        <v>-5.9626084822080738</v>
      </c>
      <c r="W36" s="60">
        <f>'Interim Inc Statement Reported'!W36/'Interim Inc Statement US$'!W$7</f>
        <v>-5.7686677694436552</v>
      </c>
      <c r="X36" s="60">
        <f>'Interim Inc Statement Reported'!X36/'Interim Inc Statement US$'!X$7</f>
        <v>0</v>
      </c>
      <c r="Y36" s="60">
        <f>'Interim Inc Statement Reported'!Y36/'Interim Inc Statement US$'!Y$7</f>
        <v>12.01111027700623</v>
      </c>
      <c r="Z36" s="60">
        <f>'Interim Inc Statement Reported'!Z36/'Interim Inc Statement US$'!Z$7</f>
        <v>0</v>
      </c>
      <c r="AA36" s="60">
        <f>'Interim Inc Statement Reported'!AA36/'Interim Inc Statement US$'!AA$7</f>
        <v>0</v>
      </c>
      <c r="AB36" s="60">
        <f>'Interim Inc Statement Reported'!AB36/'Interim Inc Statement US$'!AB$7</f>
        <v>0</v>
      </c>
      <c r="AC36" s="60" t="e">
        <f>'Interim Inc Statement Reported'!AC36/'Interim Inc Statement US$'!AC$7</f>
        <v>#DIV/0!</v>
      </c>
    </row>
    <row r="37" spans="1:29" x14ac:dyDescent="0.3">
      <c r="A37" s="14" t="s">
        <v>36</v>
      </c>
      <c r="B37" s="74">
        <f t="shared" ref="B37:K37" si="51">SUM(B30:B36)</f>
        <v>141.31935752182369</v>
      </c>
      <c r="C37" s="74">
        <f t="shared" si="51"/>
        <v>242.34144119967146</v>
      </c>
      <c r="D37" s="74">
        <f t="shared" si="51"/>
        <v>598.51366555178822</v>
      </c>
      <c r="E37" s="74">
        <f t="shared" si="51"/>
        <v>101.90624625344697</v>
      </c>
      <c r="F37" s="74">
        <f t="shared" si="51"/>
        <v>90.240228220448145</v>
      </c>
      <c r="G37" s="74">
        <f t="shared" si="51"/>
        <v>216.45861295803547</v>
      </c>
      <c r="H37" s="74">
        <f t="shared" si="51"/>
        <v>672.76786056751826</v>
      </c>
      <c r="I37" s="74">
        <f t="shared" si="51"/>
        <v>5.9947545897333496</v>
      </c>
      <c r="J37" s="74">
        <f t="shared" si="51"/>
        <v>-37.016891789804681</v>
      </c>
      <c r="K37" s="74">
        <f t="shared" si="51"/>
        <v>223.45953971789146</v>
      </c>
      <c r="L37" s="74">
        <f t="shared" ref="L37:M37" si="52">SUM(L30:L36)</f>
        <v>823.08465329951605</v>
      </c>
      <c r="M37" s="74">
        <f t="shared" si="52"/>
        <v>125.94016146981828</v>
      </c>
      <c r="N37" s="74">
        <f t="shared" ref="N37:O37" si="53">SUM(N30:N36)</f>
        <v>-11.07516900139359</v>
      </c>
      <c r="O37" s="74">
        <f t="shared" si="53"/>
        <v>22.467102381453646</v>
      </c>
      <c r="P37" s="74">
        <f t="shared" ref="P37:Q37" si="54">SUM(P30:P36)</f>
        <v>636.52742276190429</v>
      </c>
      <c r="Q37" s="74">
        <f t="shared" si="54"/>
        <v>79.497274379163926</v>
      </c>
      <c r="R37" s="74">
        <f t="shared" ref="R37:S37" si="55">SUM(R30:R36)</f>
        <v>95.507684208919216</v>
      </c>
      <c r="S37" s="74">
        <f t="shared" si="55"/>
        <v>304.24552170832811</v>
      </c>
      <c r="T37" s="74">
        <f t="shared" ref="T37:U37" si="56">SUM(T30:T36)</f>
        <v>706.62676318169054</v>
      </c>
      <c r="U37" s="74">
        <f t="shared" si="56"/>
        <v>102.27200671995288</v>
      </c>
      <c r="V37" s="74">
        <f t="shared" ref="V37:Y37" si="57">SUM(V30:V36)</f>
        <v>-328.68879258172035</v>
      </c>
      <c r="W37" s="74">
        <f t="shared" si="57"/>
        <v>-1127.0534654550543</v>
      </c>
      <c r="X37" s="74">
        <f t="shared" si="57"/>
        <v>-583.70822024761105</v>
      </c>
      <c r="Y37" s="74">
        <f t="shared" si="57"/>
        <v>-730.42564372044137</v>
      </c>
      <c r="Z37" s="74">
        <f t="shared" ref="Z37:AA37" si="58">SUM(Z30:Z36)</f>
        <v>-810.50801622561323</v>
      </c>
      <c r="AA37" s="74">
        <f t="shared" si="58"/>
        <v>-907.85256410256409</v>
      </c>
      <c r="AB37" s="74">
        <f t="shared" ref="AB37:AC37" si="59">SUM(AB30:AB36)</f>
        <v>-290.27113237639566</v>
      </c>
      <c r="AC37" s="74" t="e">
        <f t="shared" si="59"/>
        <v>#DIV/0!</v>
      </c>
    </row>
    <row r="38" spans="1:29" x14ac:dyDescent="0.3">
      <c r="A38" s="31" t="s">
        <v>37</v>
      </c>
      <c r="B38" s="58">
        <f>'Interim Inc Statement Reported'!B38/'Interim Inc Statement US$'!B$7</f>
        <v>-65.410674052958427</v>
      </c>
      <c r="C38" s="58">
        <f>'Interim Inc Statement Reported'!C38/'Interim Inc Statement US$'!C$7</f>
        <v>-59.365520830792001</v>
      </c>
      <c r="D38" s="58">
        <f>'Interim Inc Statement Reported'!D38/'Interim Inc Statement US$'!D$7</f>
        <v>-65.821195955823256</v>
      </c>
      <c r="E38" s="58">
        <f>'Interim Inc Statement Reported'!E38/'Interim Inc Statement US$'!E$7</f>
        <v>-59.195540103105145</v>
      </c>
      <c r="F38" s="58">
        <f>'Interim Inc Statement Reported'!F38/'Interim Inc Statement US$'!F$7</f>
        <v>-53.125295645908992</v>
      </c>
      <c r="G38" s="58">
        <f>'Interim Inc Statement Reported'!G38/'Interim Inc Statement US$'!G$7</f>
        <v>-65.170335084139566</v>
      </c>
      <c r="H38" s="58">
        <f>'Interim Inc Statement Reported'!H38/'Interim Inc Statement US$'!H$7</f>
        <v>-65.205550910192784</v>
      </c>
      <c r="I38" s="58">
        <f>'Interim Inc Statement Reported'!I38/'Interim Inc Statement US$'!I$7</f>
        <v>-55.451479955039339</v>
      </c>
      <c r="J38" s="58">
        <f>'Interim Inc Statement Reported'!J38/'Interim Inc Statement US$'!J$7</f>
        <v>-52.881273985434987</v>
      </c>
      <c r="K38" s="58">
        <f>'Interim Inc Statement Reported'!K38/'Interim Inc Statement US$'!K$7</f>
        <v>-52.709725315515961</v>
      </c>
      <c r="L38" s="58">
        <f>'Interim Inc Statement Reported'!L38/'Interim Inc Statement US$'!L$7</f>
        <v>-51.044009506946772</v>
      </c>
      <c r="M38" s="58">
        <f>'Interim Inc Statement Reported'!M38/'Interim Inc Statement US$'!M$7</f>
        <v>-55.09882064304562</v>
      </c>
      <c r="N38" s="58">
        <f>'Interim Inc Statement Reported'!N38/'Interim Inc Statement US$'!N$7</f>
        <v>-55.375845006965243</v>
      </c>
      <c r="O38" s="58">
        <f>'Interim Inc Statement Reported'!O38/'Interim Inc Statement US$'!O$7</f>
        <v>-59.654030461100028</v>
      </c>
      <c r="P38" s="58">
        <f>'Interim Inc Statement Reported'!P38/'Interim Inc Statement US$'!P$7</f>
        <v>-55.849160891369081</v>
      </c>
      <c r="Q38" s="58">
        <f>'Interim Inc Statement Reported'!Q38/'Interim Inc Statement US$'!Q$7</f>
        <v>-57.54088431253787</v>
      </c>
      <c r="R38" s="58">
        <f>'Interim Inc Statement Reported'!R38/'Interim Inc Statement US$'!R$7</f>
        <v>-94.003626189880265</v>
      </c>
      <c r="S38" s="58">
        <f>'Interim Inc Statement Reported'!S38/'Interim Inc Statement US$'!S$7</f>
        <v>-91.198903313061763</v>
      </c>
      <c r="T38" s="58">
        <f>'Interim Inc Statement Reported'!T38/'Interim Inc Statement US$'!T$7</f>
        <v>-90.88447114877053</v>
      </c>
      <c r="U38" s="58">
        <f>'Interim Inc Statement Reported'!U38/'Interim Inc Statement US$'!U$7</f>
        <v>-85.605457476701119</v>
      </c>
      <c r="V38" s="58">
        <f>'Interim Inc Statement Reported'!V38/'Interim Inc Statement US$'!V$7</f>
        <v>-90.184453293397112</v>
      </c>
      <c r="W38" s="58">
        <f>'Interim Inc Statement Reported'!W38/'Interim Inc Statement US$'!W$7</f>
        <v>-103.11493637880533</v>
      </c>
      <c r="X38" s="58">
        <f>'Interim Inc Statement Reported'!X38/'Interim Inc Statement US$'!X$7</f>
        <v>-145.74116072424434</v>
      </c>
      <c r="Y38" s="58">
        <f>'Interim Inc Statement Reported'!Y38/'Interim Inc Statement US$'!Y$7</f>
        <v>-147.13610089332633</v>
      </c>
      <c r="Z38" s="58">
        <f>'Interim Inc Statement Reported'!Z38/'Interim Inc Statement US$'!Z$7</f>
        <v>-133.66814757581611</v>
      </c>
      <c r="AA38" s="58">
        <f>'Interim Inc Statement Reported'!AA38/'Interim Inc Statement US$'!AA$7</f>
        <v>-127.40384615384616</v>
      </c>
      <c r="AB38" s="58">
        <f>'Interim Inc Statement Reported'!AB38/'Interim Inc Statement US$'!AB$7</f>
        <v>-153.90749601275917</v>
      </c>
      <c r="AC38" s="58" t="e">
        <f>'Interim Inc Statement Reported'!AC38/'Interim Inc Statement US$'!AC$7</f>
        <v>#DIV/0!</v>
      </c>
    </row>
    <row r="39" spans="1:29" x14ac:dyDescent="0.3">
      <c r="A39" s="31" t="s">
        <v>38</v>
      </c>
      <c r="B39" s="58">
        <f>'Interim Inc Statement Reported'!B39/'Interim Inc Statement US$'!B$7</f>
        <v>7.2678526725509363</v>
      </c>
      <c r="C39" s="58">
        <f>'Interim Inc Statement Reported'!C39/'Interim Inc Statement US$'!C$7</f>
        <v>9.7587157530069035</v>
      </c>
      <c r="D39" s="58">
        <f>'Interim Inc Statement Reported'!D39/'Interim Inc Statement US$'!D$7</f>
        <v>9.1843529240683619</v>
      </c>
      <c r="E39" s="58">
        <f>'Interim Inc Statement Reported'!E39/'Interim Inc Statement US$'!E$7</f>
        <v>9.7410382448147708</v>
      </c>
      <c r="F39" s="58">
        <f>'Interim Inc Statement Reported'!F39/'Interim Inc Statement US$'!F$7</f>
        <v>7.2774377597135604</v>
      </c>
      <c r="G39" s="58">
        <f>'Interim Inc Statement Reported'!G39/'Interim Inc Statement US$'!G$7</f>
        <v>10.085885191593027</v>
      </c>
      <c r="H39" s="58">
        <f>'Interim Inc Statement Reported'!H39/'Interim Inc Statement US$'!H$7</f>
        <v>9.2054895402625103</v>
      </c>
      <c r="I39" s="58">
        <f>'Interim Inc Statement Reported'!I39/'Interim Inc Statement US$'!I$7</f>
        <v>9.7414762083177227</v>
      </c>
      <c r="J39" s="58">
        <f>'Interim Inc Statement Reported'!J39/'Interim Inc Statement US$'!J$7</f>
        <v>9.0653612546459978</v>
      </c>
      <c r="K39" s="58">
        <f>'Interim Inc Statement Reported'!K39/'Interim Inc Statement US$'!K$7</f>
        <v>10.393466963622865</v>
      </c>
      <c r="L39" s="58">
        <f>'Interim Inc Statement Reported'!L39/'Interim Inc Statement US$'!L$7</f>
        <v>12.761002376736693</v>
      </c>
      <c r="M39" s="58">
        <f>'Interim Inc Statement Reported'!M39/'Interim Inc Statement US$'!M$7</f>
        <v>14.168268165354588</v>
      </c>
      <c r="N39" s="58">
        <f>'Interim Inc Statement Reported'!N39/'Interim Inc Statement US$'!N$7</f>
        <v>15.821670001990068</v>
      </c>
      <c r="O39" s="58">
        <f>'Interim Inc Statement Reported'!O39/'Interim Inc Statement US$'!O$7</f>
        <v>18.593464039823385</v>
      </c>
      <c r="P39" s="58">
        <f>'Interim Inc Statement Reported'!P39/'Interim Inc Statement US$'!P$7</f>
        <v>24.481823952380967</v>
      </c>
      <c r="Q39" s="58">
        <f>'Interim Inc Statement Reported'!Q39/'Interim Inc Statement US$'!Q$7</f>
        <v>24.227740763173838</v>
      </c>
      <c r="R39" s="58">
        <f>'Interim Inc Statement Reported'!R39/'Interim Inc Statement US$'!R$7</f>
        <v>28.5771023617236</v>
      </c>
      <c r="S39" s="58">
        <f>'Interim Inc Statement Reported'!S39/'Interim Inc Statement US$'!S$7</f>
        <v>30.648811769143705</v>
      </c>
      <c r="T39" s="58">
        <f>'Interim Inc Statement Reported'!T39/'Interim Inc Statement US$'!T$7</f>
        <v>33.324306087882526</v>
      </c>
      <c r="U39" s="58">
        <f>'Interim Inc Statement Reported'!U39/'Interim Inc Statement US$'!U$7</f>
        <v>31.060387226059696</v>
      </c>
      <c r="V39" s="58">
        <f>'Interim Inc Statement Reported'!V39/'Interim Inc Statement US$'!V$7</f>
        <v>31.303694531592388</v>
      </c>
      <c r="W39" s="58">
        <f>'Interim Inc Statement Reported'!W39/'Interim Inc Statement US$'!W$7</f>
        <v>23.074671077774621</v>
      </c>
      <c r="X39" s="58">
        <f>'Interim Inc Statement Reported'!X39/'Interim Inc Statement US$'!X$7</f>
        <v>23.794475220284788</v>
      </c>
      <c r="Y39" s="58">
        <f>'Interim Inc Statement Reported'!Y39/'Interim Inc Statement US$'!Y$7</f>
        <v>19.518054200135126</v>
      </c>
      <c r="Z39" s="58">
        <f>'Interim Inc Statement Reported'!Z39/'Interim Inc Statement US$'!Z$7</f>
        <v>16.225613289549933</v>
      </c>
      <c r="AA39" s="58">
        <f>'Interim Inc Statement Reported'!AA39/'Interim Inc Statement US$'!AA$7</f>
        <v>12.820512820512821</v>
      </c>
      <c r="AB39" s="58">
        <f>'Interim Inc Statement Reported'!AB39/'Interim Inc Statement US$'!AB$7</f>
        <v>13.556618819776714</v>
      </c>
      <c r="AC39" s="58" t="e">
        <f>'Interim Inc Statement Reported'!AC39/'Interim Inc Statement US$'!AC$7</f>
        <v>#DIV/0!</v>
      </c>
    </row>
    <row r="40" spans="1:29" x14ac:dyDescent="0.3">
      <c r="A40" s="31" t="s">
        <v>39</v>
      </c>
      <c r="B40" s="58">
        <f>'Interim Inc Statement Reported'!B40/'Interim Inc Statement US$'!B$7</f>
        <v>0.80753918583899287</v>
      </c>
      <c r="C40" s="58">
        <f>'Interim Inc Statement Reported'!C40/'Interim Inc Statement US$'!C$7</f>
        <v>4.0661315637528768</v>
      </c>
      <c r="D40" s="58">
        <f>'Interim Inc Statement Reported'!D40/'Interim Inc Statement US$'!D$7</f>
        <v>-15.30725487344727</v>
      </c>
      <c r="E40" s="58">
        <f>'Interim Inc Statement Reported'!E40/'Interim Inc Statement US$'!E$7</f>
        <v>-2.2479319026495626</v>
      </c>
      <c r="F40" s="58">
        <f>'Interim Inc Statement Reported'!F40/'Interim Inc Statement US$'!F$7</f>
        <v>-7.2774377597135604</v>
      </c>
      <c r="G40" s="58">
        <f>'Interim Inc Statement Reported'!G40/'Interim Inc Statement US$'!G$7</f>
        <v>-0.77583732243023285</v>
      </c>
      <c r="H40" s="58">
        <f>'Interim Inc Statement Reported'!H40/'Interim Inc Statement US$'!H$7</f>
        <v>4.6027447701312552</v>
      </c>
      <c r="I40" s="58">
        <f>'Interim Inc Statement Reported'!I40/'Interim Inc Statement US$'!I$7</f>
        <v>6.7440989134507303</v>
      </c>
      <c r="J40" s="58">
        <f>'Interim Inc Statement Reported'!J40/'Interim Inc Statement US$'!J$7</f>
        <v>0</v>
      </c>
      <c r="K40" s="58">
        <f>'Interim Inc Statement Reported'!K40/'Interim Inc Statement US$'!K$7</f>
        <v>5.1967334818114326</v>
      </c>
      <c r="L40" s="58">
        <f>'Interim Inc Statement Reported'!L40/'Interim Inc Statement US$'!L$7</f>
        <v>13.558565025282737</v>
      </c>
      <c r="M40" s="58">
        <f>'Interim Inc Statement Reported'!M40/'Interim Inc Statement US$'!M$7</f>
        <v>-0.78712600918636599</v>
      </c>
      <c r="N40" s="58">
        <f>'Interim Inc Statement Reported'!N40/'Interim Inc Statement US$'!N$7</f>
        <v>0.79108350009950346</v>
      </c>
      <c r="O40" s="58">
        <f>'Interim Inc Statement Reported'!O40/'Interim Inc Statement US$'!O$7</f>
        <v>-6.9725490149337688</v>
      </c>
      <c r="P40" s="58">
        <f>'Interim Inc Statement Reported'!P40/'Interim Inc Statement US$'!P$7</f>
        <v>7.6505699851190521</v>
      </c>
      <c r="Q40" s="58">
        <f>'Interim Inc Statement Reported'!Q40/'Interim Inc Statement US$'!Q$7</f>
        <v>-1.5142337976983649</v>
      </c>
      <c r="R40" s="58">
        <f>'Interim Inc Statement Reported'!R40/'Interim Inc Statement US$'!R$7</f>
        <v>6.0162320761523365</v>
      </c>
      <c r="S40" s="58">
        <f>'Interim Inc Statement Reported'!S40/'Interim Inc Statement US$'!S$7</f>
        <v>4.4851919662161519</v>
      </c>
      <c r="T40" s="58">
        <f>'Interim Inc Statement Reported'!T40/'Interim Inc Statement US$'!T$7</f>
        <v>3.0294823716256842</v>
      </c>
      <c r="U40" s="58">
        <f>'Interim Inc Statement Reported'!U40/'Interim Inc Statement US$'!U$7</f>
        <v>-13.636267562660354</v>
      </c>
      <c r="V40" s="58">
        <f>'Interim Inc Statement Reported'!V40/'Interim Inc Statement US$'!V$7</f>
        <v>-25.341086049384316</v>
      </c>
      <c r="W40" s="58">
        <f>'Interim Inc Statement Reported'!W40/'Interim Inc Statement US$'!W$7</f>
        <v>-28.843338847218273</v>
      </c>
      <c r="X40" s="58">
        <f>'Interim Inc Statement Reported'!X40/'Interim Inc Statement US$'!X$7</f>
        <v>34.204558129159381</v>
      </c>
      <c r="Y40" s="58">
        <f>'Interim Inc Statement Reported'!Y40/'Interim Inc Statement US$'!Y$7</f>
        <v>-160.64859995495834</v>
      </c>
      <c r="Z40" s="58">
        <f>'Interim Inc Statement Reported'!Z40/'Interim Inc Statement US$'!Z$7</f>
        <v>-186.98087695576589</v>
      </c>
      <c r="AA40" s="58">
        <f>'Interim Inc Statement Reported'!AA40/'Interim Inc Statement US$'!AA$7</f>
        <v>0</v>
      </c>
      <c r="AB40" s="58">
        <f>'Interim Inc Statement Reported'!AB40/'Interim Inc Statement US$'!AB$7</f>
        <v>90.909090909090907</v>
      </c>
      <c r="AC40" s="58" t="e">
        <f>'Interim Inc Statement Reported'!AC40/'Interim Inc Statement US$'!AC$7</f>
        <v>#DIV/0!</v>
      </c>
    </row>
    <row r="41" spans="1:29" x14ac:dyDescent="0.3">
      <c r="A41" s="31" t="s">
        <v>40</v>
      </c>
      <c r="B41" s="58">
        <f>'Interim Inc Statement Reported'!B41/'Interim Inc Statement US$'!B$7</f>
        <v>-329.47598782230909</v>
      </c>
      <c r="C41" s="58">
        <f>'Interim Inc Statement Reported'!C41/'Interim Inc Statement US$'!C$7</f>
        <v>45.540673514032221</v>
      </c>
      <c r="D41" s="58">
        <f>'Interim Inc Statement Reported'!D41/'Interim Inc Statement US$'!D$7</f>
        <v>-192.10604866176325</v>
      </c>
      <c r="E41" s="58">
        <f>'Interim Inc Statement Reported'!E41/'Interim Inc Statement US$'!E$7</f>
        <v>-119.1403908404268</v>
      </c>
      <c r="F41" s="58">
        <f>'Interim Inc Statement Reported'!F41/'Interim Inc Statement US$'!F$7</f>
        <v>36.387188798567799</v>
      </c>
      <c r="G41" s="58">
        <f>'Interim Inc Statement Reported'!G41/'Interim Inc Statement US$'!G$7</f>
        <v>-13.189234481313958</v>
      </c>
      <c r="H41" s="58">
        <f>'Interim Inc Statement Reported'!H41/'Interim Inc Statement US$'!H$7</f>
        <v>-32.219213390918789</v>
      </c>
      <c r="I41" s="58">
        <f>'Interim Inc Statement Reported'!I41/'Interim Inc Statement US$'!I$7</f>
        <v>-21.730985387785687</v>
      </c>
      <c r="J41" s="58">
        <f>'Interim Inc Statement Reported'!J41/'Interim Inc Statement US$'!J$7</f>
        <v>52.881273985434987</v>
      </c>
      <c r="K41" s="58">
        <f>'Interim Inc Statement Reported'!K41/'Interim Inc Statement US$'!K$7</f>
        <v>50.482553823311065</v>
      </c>
      <c r="L41" s="58">
        <f>'Interim Inc Statement Reported'!L41/'Interim Inc Statement US$'!L$7</f>
        <v>35.092756536025909</v>
      </c>
      <c r="M41" s="58">
        <f>'Interim Inc Statement Reported'!M41/'Interim Inc Statement US$'!M$7</f>
        <v>-48.801812569554691</v>
      </c>
      <c r="N41" s="58">
        <f>'Interim Inc Statement Reported'!N41/'Interim Inc Statement US$'!N$7</f>
        <v>-88.601352011144385</v>
      </c>
      <c r="O41" s="58">
        <f>'Interim Inc Statement Reported'!O41/'Interim Inc Statement US$'!O$7</f>
        <v>-19.368191708149357</v>
      </c>
      <c r="P41" s="58">
        <f>'Interim Inc Statement Reported'!P41/'Interim Inc Statement US$'!P$7</f>
        <v>68.09007286755957</v>
      </c>
      <c r="Q41" s="58">
        <f>'Interim Inc Statement Reported'!Q41/'Interim Inc Statement US$'!Q$7</f>
        <v>-203.66444579043008</v>
      </c>
      <c r="R41" s="58">
        <f>'Interim Inc Statement Reported'!R41/'Interim Inc Statement US$'!R$7</f>
        <v>197.78362950350808</v>
      </c>
      <c r="S41" s="58">
        <f>'Interim Inc Statement Reported'!S41/'Interim Inc Statement US$'!S$7</f>
        <v>87.461243341214967</v>
      </c>
      <c r="T41" s="58">
        <f>'Interim Inc Statement Reported'!T41/'Interim Inc Statement US$'!T$7</f>
        <v>20.449006008473368</v>
      </c>
      <c r="U41" s="58">
        <f>'Interim Inc Statement Reported'!U41/'Interim Inc Statement US$'!U$7</f>
        <v>69.696478653597367</v>
      </c>
      <c r="V41" s="58">
        <f>'Interim Inc Statement Reported'!V41/'Interim Inc Statement US$'!V$7</f>
        <v>-529.92682885624254</v>
      </c>
      <c r="W41" s="58">
        <f>'Interim Inc Statement Reported'!W41/'Interim Inc Statement US$'!W$7</f>
        <v>174.50220002567056</v>
      </c>
      <c r="X41" s="58">
        <f>'Interim Inc Statement Reported'!X41/'Interim Inc Statement US$'!X$7</f>
        <v>65.434806855783165</v>
      </c>
      <c r="Y41" s="58">
        <f>'Interim Inc Statement Reported'!Y41/'Interim Inc Statement US$'!Y$7</f>
        <v>66.061106523534264</v>
      </c>
      <c r="Z41" s="58">
        <f>'Interim Inc Statement Reported'!Z41/'Interim Inc Statement US$'!Z$7</f>
        <v>51.767432876183122</v>
      </c>
      <c r="AA41" s="58">
        <f>'Interim Inc Statement Reported'!AA41/'Interim Inc Statement US$'!AA$7</f>
        <v>-4.0064102564102564</v>
      </c>
      <c r="AB41" s="58">
        <f>'Interim Inc Statement Reported'!AB41/'Interim Inc Statement US$'!AB$7</f>
        <v>-108.45295055821371</v>
      </c>
      <c r="AC41" s="58" t="e">
        <f>'Interim Inc Statement Reported'!AC41/'Interim Inc Statement US$'!AC$7</f>
        <v>#DIV/0!</v>
      </c>
    </row>
    <row r="42" spans="1:29" x14ac:dyDescent="0.3">
      <c r="A42" s="31" t="s">
        <v>41</v>
      </c>
      <c r="B42" s="60">
        <f>'Interim Inc Statement Reported'!B42/'Interim Inc Statement US$'!B$7</f>
        <v>-4.0376959291949648</v>
      </c>
      <c r="C42" s="60">
        <f>'Interim Inc Statement Reported'!C42/'Interim Inc Statement US$'!C$7</f>
        <v>-1.6264526255011507</v>
      </c>
      <c r="D42" s="60">
        <f>'Interim Inc Statement Reported'!D42/'Interim Inc Statement US$'!D$7</f>
        <v>0</v>
      </c>
      <c r="E42" s="60">
        <f>'Interim Inc Statement Reported'!E42/'Interim Inc Statement US$'!E$7</f>
        <v>-17.9834552211965</v>
      </c>
      <c r="F42" s="60">
        <f>'Interim Inc Statement Reported'!F42/'Interim Inc Statement US$'!F$7</f>
        <v>0</v>
      </c>
      <c r="G42" s="60">
        <f>'Interim Inc Statement Reported'!G42/'Interim Inc Statement US$'!G$7</f>
        <v>-3.1033492897209314</v>
      </c>
      <c r="H42" s="60">
        <f>'Interim Inc Statement Reported'!H42/'Interim Inc Statement US$'!H$7</f>
        <v>0</v>
      </c>
      <c r="I42" s="60">
        <f>'Interim Inc Statement Reported'!I42/'Interim Inc Statement US$'!I$7</f>
        <v>-78.681153990258522</v>
      </c>
      <c r="J42" s="60">
        <f>'Interim Inc Statement Reported'!J42/'Interim Inc Statement US$'!J$7</f>
        <v>0</v>
      </c>
      <c r="K42" s="60">
        <f>'Interim Inc Statement Reported'!K42/'Interim Inc Statement US$'!K$7</f>
        <v>-11.878247958426133</v>
      </c>
      <c r="L42" s="60">
        <f>'Interim Inc Statement Reported'!L42/'Interim Inc Statement US$'!L$7</f>
        <v>-19.14150356510504</v>
      </c>
      <c r="M42" s="60">
        <f>'Interim Inc Statement Reported'!M42/'Interim Inc Statement US$'!M$7</f>
        <v>-19.678150229659149</v>
      </c>
      <c r="N42" s="60">
        <f>'Interim Inc Statement Reported'!N42/'Interim Inc Statement US$'!N$7</f>
        <v>-7.1197515008955312</v>
      </c>
      <c r="O42" s="60">
        <f>'Interim Inc Statement Reported'!O42/'Interim Inc Statement US$'!O$7</f>
        <v>-10.071459688237667</v>
      </c>
      <c r="P42" s="60">
        <f>'Interim Inc Statement Reported'!P42/'Interim Inc Statement US$'!P$7</f>
        <v>-10.710797979166673</v>
      </c>
      <c r="Q42" s="60">
        <f>'Interim Inc Statement Reported'!Q42/'Interim Inc Statement US$'!Q$7</f>
        <v>-4.5427013930950944</v>
      </c>
      <c r="R42" s="60">
        <f>'Interim Inc Statement Reported'!R42/'Interim Inc Statement US$'!R$7</f>
        <v>-19.552754247495095</v>
      </c>
      <c r="S42" s="60">
        <f>'Interim Inc Statement Reported'!S42/'Interim Inc Statement US$'!S$7</f>
        <v>-6.7277879493242283</v>
      </c>
      <c r="T42" s="60">
        <f>'Interim Inc Statement Reported'!T42/'Interim Inc Statement US$'!T$7</f>
        <v>-7.5737059290642108</v>
      </c>
      <c r="U42" s="60">
        <f>'Interim Inc Statement Reported'!U42/'Interim Inc Statement US$'!U$7</f>
        <v>26.514964705172911</v>
      </c>
      <c r="V42" s="60">
        <f>'Interim Inc Statement Reported'!V42/'Interim Inc Statement US$'!V$7</f>
        <v>-8.1985866630361013</v>
      </c>
      <c r="W42" s="60">
        <f>'Interim Inc Statement Reported'!W42/'Interim Inc Statement US$'!W$7</f>
        <v>-6.4897512406241118</v>
      </c>
      <c r="X42" s="60">
        <f>'Interim Inc Statement Reported'!X42/'Interim Inc Statement US$'!X$7</f>
        <v>-4.4614641038033982</v>
      </c>
      <c r="Y42" s="60">
        <f>'Interim Inc Statement Reported'!Y42/'Interim Inc Statement US$'!Y$7</f>
        <v>-7.5069439231288939</v>
      </c>
      <c r="Z42" s="60">
        <f>'Interim Inc Statement Reported'!Z42/'Interim Inc Statement US$'!Z$7</f>
        <v>-8.499130770716631</v>
      </c>
      <c r="AA42" s="60">
        <f>'Interim Inc Statement Reported'!AA42/'Interim Inc Statement US$'!AA$7</f>
        <v>-13.621794871794872</v>
      </c>
      <c r="AB42" s="60">
        <f>'Interim Inc Statement Reported'!AB42/'Interim Inc Statement US$'!AB$7</f>
        <v>-93.301435406698559</v>
      </c>
      <c r="AC42" s="60" t="e">
        <f>'Interim Inc Statement Reported'!AC42/'Interim Inc Statement US$'!AC$7</f>
        <v>#DIV/0!</v>
      </c>
    </row>
    <row r="43" spans="1:29" x14ac:dyDescent="0.3">
      <c r="A43" s="14" t="s">
        <v>42</v>
      </c>
      <c r="B43" s="74">
        <f t="shared" ref="B43:K43" si="60">SUM(B37:B42)</f>
        <v>-249.52960842424886</v>
      </c>
      <c r="C43" s="74">
        <f t="shared" si="60"/>
        <v>240.71498857417032</v>
      </c>
      <c r="D43" s="74">
        <f t="shared" si="60"/>
        <v>334.46351898482283</v>
      </c>
      <c r="E43" s="74">
        <f t="shared" si="60"/>
        <v>-86.920033569116271</v>
      </c>
      <c r="F43" s="74">
        <f t="shared" si="60"/>
        <v>73.502121373106945</v>
      </c>
      <c r="G43" s="74">
        <f t="shared" si="60"/>
        <v>144.30574197202384</v>
      </c>
      <c r="H43" s="74">
        <f t="shared" si="60"/>
        <v>589.15133057680055</v>
      </c>
      <c r="I43" s="74">
        <f t="shared" si="60"/>
        <v>-133.38328962158175</v>
      </c>
      <c r="J43" s="74">
        <f t="shared" si="60"/>
        <v>-27.951530535158696</v>
      </c>
      <c r="K43" s="74">
        <f t="shared" si="60"/>
        <v>224.94432071269475</v>
      </c>
      <c r="L43" s="74">
        <f t="shared" ref="L43:M43" si="61">SUM(L37:L42)</f>
        <v>814.31146416550962</v>
      </c>
      <c r="M43" s="74">
        <f t="shared" si="61"/>
        <v>15.742520183727049</v>
      </c>
      <c r="N43" s="74">
        <f t="shared" ref="N43:O43" si="62">SUM(N37:N42)</f>
        <v>-145.55936401830917</v>
      </c>
      <c r="O43" s="74">
        <f t="shared" si="62"/>
        <v>-55.005664451143787</v>
      </c>
      <c r="P43" s="74">
        <f t="shared" ref="P43:Q43" si="63">SUM(P37:P42)</f>
        <v>670.18993069642806</v>
      </c>
      <c r="Q43" s="74">
        <f t="shared" si="63"/>
        <v>-163.53725015142365</v>
      </c>
      <c r="R43" s="74">
        <f t="shared" ref="R43:S43" si="64">SUM(R37:R42)</f>
        <v>214.32826771292787</v>
      </c>
      <c r="S43" s="74">
        <f t="shared" si="64"/>
        <v>328.91407752251695</v>
      </c>
      <c r="T43" s="74">
        <f t="shared" ref="T43:U43" si="65">SUM(T37:T42)</f>
        <v>664.97138057183736</v>
      </c>
      <c r="U43" s="74">
        <f t="shared" si="65"/>
        <v>130.30211226542139</v>
      </c>
      <c r="V43" s="74">
        <f t="shared" ref="V43:Y43" si="66">SUM(V37:V42)</f>
        <v>-951.03605291218798</v>
      </c>
      <c r="W43" s="74">
        <f t="shared" si="66"/>
        <v>-1067.9246208182569</v>
      </c>
      <c r="X43" s="74">
        <f t="shared" si="66"/>
        <v>-610.47700487043141</v>
      </c>
      <c r="Y43" s="74">
        <f t="shared" si="66"/>
        <v>-960.13812776818554</v>
      </c>
      <c r="Z43" s="74">
        <f t="shared" ref="Z43:AA43" si="67">SUM(Z37:Z42)</f>
        <v>-1071.6631253621788</v>
      </c>
      <c r="AA43" s="74">
        <f t="shared" si="67"/>
        <v>-1040.0641025641025</v>
      </c>
      <c r="AB43" s="74">
        <f t="shared" ref="AB43:AC43" si="68">SUM(AB37:AB42)</f>
        <v>-541.46730462519952</v>
      </c>
      <c r="AC43" s="74" t="e">
        <f t="shared" si="68"/>
        <v>#DIV/0!</v>
      </c>
    </row>
    <row r="44" spans="1:29" x14ac:dyDescent="0.3">
      <c r="A44" s="31" t="s">
        <v>3</v>
      </c>
      <c r="B44" s="60">
        <f>'Interim Inc Statement Reported'!B44/'Interim Inc Statement US$'!B$7</f>
        <v>0</v>
      </c>
      <c r="C44" s="60">
        <f>'Interim Inc Statement Reported'!C44/'Interim Inc Statement US$'!C$7</f>
        <v>0</v>
      </c>
      <c r="D44" s="60">
        <f>'Interim Inc Statement Reported'!D44/'Interim Inc Statement US$'!D$7</f>
        <v>0</v>
      </c>
      <c r="E44" s="60">
        <f>'Interim Inc Statement Reported'!E44/'Interim Inc Statement US$'!E$7</f>
        <v>0</v>
      </c>
      <c r="F44" s="60">
        <f>'Interim Inc Statement Reported'!F44/'Interim Inc Statement US$'!F$7</f>
        <v>0</v>
      </c>
      <c r="G44" s="60">
        <f>'Interim Inc Statement Reported'!G44/'Interim Inc Statement US$'!G$7</f>
        <v>0</v>
      </c>
      <c r="H44" s="60">
        <f>'Interim Inc Statement Reported'!H44/'Interim Inc Statement US$'!H$7</f>
        <v>0</v>
      </c>
      <c r="I44" s="60">
        <f>'Interim Inc Statement Reported'!I44/'Interim Inc Statement US$'!I$7</f>
        <v>-0.74934432371674786</v>
      </c>
      <c r="J44" s="60">
        <f>'Interim Inc Statement Reported'!J44/'Interim Inc Statement US$'!J$7</f>
        <v>0</v>
      </c>
      <c r="K44" s="60">
        <f>'Interim Inc Statement Reported'!K44/'Interim Inc Statement US$'!K$7</f>
        <v>-2.2271714922048997</v>
      </c>
      <c r="L44" s="60">
        <f>'Interim Inc Statement Reported'!L44/'Interim Inc Statement US$'!L$7</f>
        <v>632.46718029701242</v>
      </c>
      <c r="M44" s="60">
        <f>'Interim Inc Statement Reported'!M44/'Interim Inc Statement US$'!M$7</f>
        <v>-24.400906284777346</v>
      </c>
      <c r="N44" s="60">
        <f>'Interim Inc Statement Reported'!N44/'Interim Inc Statement US$'!N$7</f>
        <v>11.075169001393048</v>
      </c>
      <c r="O44" s="60">
        <f>'Interim Inc Statement Reported'!O44/'Interim Inc Statement US$'!O$7</f>
        <v>-4.6483660099558461</v>
      </c>
      <c r="P44" s="60">
        <f>'Interim Inc Statement Reported'!P44/'Interim Inc Statement US$'!P$7</f>
        <v>-176.7281666562501</v>
      </c>
      <c r="Q44" s="60">
        <f>'Interim Inc Statement Reported'!Q44/'Interim Inc Statement US$'!Q$7</f>
        <v>-11.356753482737737</v>
      </c>
      <c r="R44" s="60">
        <f>'Interim Inc Statement Reported'!R44/'Interim Inc Statement US$'!R$7</f>
        <v>45.121740571142524</v>
      </c>
      <c r="S44" s="60">
        <f>'Interim Inc Statement Reported'!S44/'Interim Inc Statement US$'!S$7</f>
        <v>-72.510603453827798</v>
      </c>
      <c r="T44" s="60">
        <f>'Interim Inc Statement Reported'!T44/'Interim Inc Statement US$'!T$7</f>
        <v>-183.28368348335391</v>
      </c>
      <c r="U44" s="60">
        <f>'Interim Inc Statement Reported'!U44/'Interim Inc Statement US$'!U$7</f>
        <v>-15.151408402955949</v>
      </c>
      <c r="V44" s="60">
        <f>'Interim Inc Statement Reported'!V44/'Interim Inc Statement US$'!V$7</f>
        <v>169.18901568265409</v>
      </c>
      <c r="W44" s="60">
        <f>'Interim Inc Statement Reported'!W44/'Interim Inc Statement US$'!W$7</f>
        <v>-195.41362068990381</v>
      </c>
      <c r="X44" s="60">
        <f>'Interim Inc Statement Reported'!X44/'Interim Inc Statement US$'!X$7</f>
        <v>101.12651968621034</v>
      </c>
      <c r="Y44" s="60">
        <f>'Interim Inc Statement Reported'!Y44/'Interim Inc Statement US$'!Y$7</f>
        <v>85.579160723669389</v>
      </c>
      <c r="Z44" s="60">
        <f>'Interim Inc Statement Reported'!Z44/'Interim Inc Statement US$'!Z$7</f>
        <v>64.129804906316409</v>
      </c>
      <c r="AA44" s="60">
        <f>'Interim Inc Statement Reported'!AA44/'Interim Inc Statement US$'!AA$7</f>
        <v>106.57051282051282</v>
      </c>
      <c r="AB44" s="60">
        <f>'Interim Inc Statement Reported'!AB44/'Interim Inc Statement US$'!AB$7</f>
        <v>31.100478468899521</v>
      </c>
      <c r="AC44" s="60" t="e">
        <f>'Interim Inc Statement Reported'!AC44/'Interim Inc Statement US$'!AC$7</f>
        <v>#DIV/0!</v>
      </c>
    </row>
    <row r="45" spans="1:29" x14ac:dyDescent="0.3">
      <c r="A45" s="14" t="s">
        <v>43</v>
      </c>
      <c r="B45" s="74">
        <f t="shared" ref="B45:K45" si="69">SUM(B43:B44)</f>
        <v>-249.52960842424886</v>
      </c>
      <c r="C45" s="74">
        <f t="shared" si="69"/>
        <v>240.71498857417032</v>
      </c>
      <c r="D45" s="74">
        <f t="shared" si="69"/>
        <v>334.46351898482283</v>
      </c>
      <c r="E45" s="74">
        <f t="shared" si="69"/>
        <v>-86.920033569116271</v>
      </c>
      <c r="F45" s="74">
        <f t="shared" si="69"/>
        <v>73.502121373106945</v>
      </c>
      <c r="G45" s="74">
        <f t="shared" si="69"/>
        <v>144.30574197202384</v>
      </c>
      <c r="H45" s="74">
        <f t="shared" si="69"/>
        <v>589.15133057680055</v>
      </c>
      <c r="I45" s="74">
        <f t="shared" si="69"/>
        <v>-134.13263394529849</v>
      </c>
      <c r="J45" s="74">
        <f t="shared" si="69"/>
        <v>-27.951530535158696</v>
      </c>
      <c r="K45" s="74">
        <f t="shared" si="69"/>
        <v>222.71714922048986</v>
      </c>
      <c r="L45" s="74">
        <f t="shared" ref="L45:M45" si="70">SUM(L43:L44)</f>
        <v>1446.7786444625222</v>
      </c>
      <c r="M45" s="74">
        <f t="shared" si="70"/>
        <v>-8.6583861010502972</v>
      </c>
      <c r="N45" s="74">
        <f t="shared" ref="N45:O45" si="71">SUM(N43:N44)</f>
        <v>-134.48419501691612</v>
      </c>
      <c r="O45" s="74">
        <f t="shared" si="71"/>
        <v>-59.65403046109963</v>
      </c>
      <c r="P45" s="74">
        <f t="shared" ref="P45:Q45" si="72">SUM(P43:P44)</f>
        <v>493.46176404017797</v>
      </c>
      <c r="Q45" s="74">
        <f t="shared" si="72"/>
        <v>-174.89400363416138</v>
      </c>
      <c r="R45" s="74">
        <f t="shared" ref="R45:S45" si="73">SUM(R43:R44)</f>
        <v>259.45000828407041</v>
      </c>
      <c r="S45" s="74">
        <f t="shared" si="73"/>
        <v>256.40347406868915</v>
      </c>
      <c r="T45" s="74">
        <f t="shared" ref="T45:U45" si="74">SUM(T43:T44)</f>
        <v>481.68769708848345</v>
      </c>
      <c r="U45" s="74">
        <f t="shared" si="74"/>
        <v>115.15070386246543</v>
      </c>
      <c r="V45" s="74">
        <f t="shared" ref="V45:Y45" si="75">SUM(V43:V44)</f>
        <v>-781.84703722953395</v>
      </c>
      <c r="W45" s="74">
        <f t="shared" si="75"/>
        <v>-1263.3382415081608</v>
      </c>
      <c r="X45" s="74">
        <f t="shared" si="75"/>
        <v>-509.35048518422104</v>
      </c>
      <c r="Y45" s="74">
        <f t="shared" si="75"/>
        <v>-874.55896704451618</v>
      </c>
      <c r="Z45" s="74">
        <f t="shared" ref="Z45:AA45" si="76">SUM(Z43:Z44)</f>
        <v>-1007.5333204558624</v>
      </c>
      <c r="AA45" s="74">
        <f t="shared" si="76"/>
        <v>-933.49358974358972</v>
      </c>
      <c r="AB45" s="74">
        <f t="shared" ref="AB45:AC45" si="77">SUM(AB43:AB44)</f>
        <v>-510.36682615630002</v>
      </c>
      <c r="AC45" s="74" t="e">
        <f t="shared" si="77"/>
        <v>#DIV/0!</v>
      </c>
    </row>
    <row r="46" spans="1:29" x14ac:dyDescent="0.3">
      <c r="A46" s="31" t="s">
        <v>8</v>
      </c>
      <c r="B46" s="58">
        <f>'Interim Inc Statement Reported'!B46/'Interim Inc Statement US$'!B$7</f>
        <v>0</v>
      </c>
      <c r="C46" s="58">
        <f>'Interim Inc Statement Reported'!C46/'Interim Inc Statement US$'!C$7</f>
        <v>0</v>
      </c>
      <c r="D46" s="58">
        <f>'Interim Inc Statement Reported'!D46/'Interim Inc Statement US$'!D$7</f>
        <v>0</v>
      </c>
      <c r="E46" s="58">
        <f>'Interim Inc Statement Reported'!E46/'Interim Inc Statement US$'!E$7</f>
        <v>0</v>
      </c>
      <c r="F46" s="58">
        <f>'Interim Inc Statement Reported'!F46/'Interim Inc Statement US$'!F$7</f>
        <v>0</v>
      </c>
      <c r="G46" s="58">
        <f>'Interim Inc Statement Reported'!G46/'Interim Inc Statement US$'!G$7</f>
        <v>0</v>
      </c>
      <c r="H46" s="58">
        <f>'Interim Inc Statement Reported'!H46/'Interim Inc Statement US$'!H$7</f>
        <v>0</v>
      </c>
      <c r="I46" s="58">
        <f>'Interim Inc Statement Reported'!I46/'Interim Inc Statement US$'!I$7</f>
        <v>0</v>
      </c>
      <c r="J46" s="58">
        <f>'Interim Inc Statement Reported'!J46/'Interim Inc Statement US$'!J$7</f>
        <v>0</v>
      </c>
      <c r="K46" s="58">
        <f>'Interim Inc Statement Reported'!K46/'Interim Inc Statement US$'!K$7</f>
        <v>0</v>
      </c>
      <c r="L46" s="58">
        <f>'Interim Inc Statement Reported'!L46/'Interim Inc Statement US$'!L$7</f>
        <v>0</v>
      </c>
      <c r="M46" s="58">
        <f>'Interim Inc Statement Reported'!M46/'Interim Inc Statement US$'!M$7</f>
        <v>0</v>
      </c>
      <c r="N46" s="58">
        <f>'Interim Inc Statement Reported'!N46/'Interim Inc Statement US$'!N$7</f>
        <v>0</v>
      </c>
      <c r="O46" s="58">
        <f>'Interim Inc Statement Reported'!O46/'Interim Inc Statement US$'!O$7</f>
        <v>0</v>
      </c>
      <c r="P46" s="58">
        <f>'Interim Inc Statement Reported'!P46/'Interim Inc Statement US$'!P$7</f>
        <v>0</v>
      </c>
      <c r="Q46" s="58">
        <f>'Interim Inc Statement Reported'!Q46/'Interim Inc Statement US$'!Q$7</f>
        <v>0</v>
      </c>
      <c r="R46" s="58">
        <f>'Interim Inc Statement Reported'!R46/'Interim Inc Statement US$'!R$7</f>
        <v>0</v>
      </c>
      <c r="S46" s="58">
        <f>'Interim Inc Statement Reported'!S46/'Interim Inc Statement US$'!S$7</f>
        <v>0</v>
      </c>
      <c r="T46" s="58">
        <f>'Interim Inc Statement Reported'!T46/'Interim Inc Statement US$'!T$7</f>
        <v>0</v>
      </c>
      <c r="U46" s="58">
        <f>'Interim Inc Statement Reported'!U46/'Interim Inc Statement US$'!U$7</f>
        <v>0</v>
      </c>
      <c r="V46" s="58">
        <f>'Interim Inc Statement Reported'!V46/'Interim Inc Statement US$'!V$7</f>
        <v>0</v>
      </c>
      <c r="W46" s="58">
        <f>'Interim Inc Statement Reported'!W46/'Interim Inc Statement US$'!W$7</f>
        <v>0</v>
      </c>
      <c r="X46" s="58">
        <f>'Interim Inc Statement Reported'!X46/'Interim Inc Statement US$'!X$7</f>
        <v>0</v>
      </c>
      <c r="Y46" s="58">
        <f>'Interim Inc Statement Reported'!Y46/'Interim Inc Statement US$'!Y$7</f>
        <v>0</v>
      </c>
      <c r="Z46" s="58">
        <f>'Interim Inc Statement Reported'!Z46/'Interim Inc Statement US$'!Z$7</f>
        <v>0</v>
      </c>
      <c r="AA46" s="58">
        <f>'Interim Inc Statement Reported'!AA46/'Interim Inc Statement US$'!AA$7</f>
        <v>0</v>
      </c>
      <c r="AB46" s="58">
        <f>'Interim Inc Statement Reported'!AB46/'Interim Inc Statement US$'!AB$7</f>
        <v>0</v>
      </c>
      <c r="AC46" s="58" t="e">
        <f>'Interim Inc Statement Reported'!AC46/'Interim Inc Statement US$'!AC$7</f>
        <v>#DIV/0!</v>
      </c>
    </row>
    <row r="47" spans="1:29" ht="15" thickBot="1" x14ac:dyDescent="0.35">
      <c r="A47" s="14" t="s">
        <v>44</v>
      </c>
      <c r="B47" s="76">
        <f t="shared" ref="B47:K47" si="78">B45-B46</f>
        <v>-249.52960842424886</v>
      </c>
      <c r="C47" s="76">
        <f t="shared" si="78"/>
        <v>240.71498857417032</v>
      </c>
      <c r="D47" s="76">
        <f t="shared" si="78"/>
        <v>334.46351898482283</v>
      </c>
      <c r="E47" s="76">
        <f t="shared" si="78"/>
        <v>-86.920033569116271</v>
      </c>
      <c r="F47" s="76">
        <f t="shared" si="78"/>
        <v>73.502121373106945</v>
      </c>
      <c r="G47" s="76">
        <f t="shared" si="78"/>
        <v>144.30574197202384</v>
      </c>
      <c r="H47" s="76">
        <f t="shared" si="78"/>
        <v>589.15133057680055</v>
      </c>
      <c r="I47" s="76">
        <f t="shared" si="78"/>
        <v>-134.13263394529849</v>
      </c>
      <c r="J47" s="76">
        <f t="shared" si="78"/>
        <v>-27.951530535158696</v>
      </c>
      <c r="K47" s="76">
        <f t="shared" si="78"/>
        <v>222.71714922048986</v>
      </c>
      <c r="L47" s="76">
        <f t="shared" ref="L47:O47" si="79">L45-L46</f>
        <v>1446.7786444625222</v>
      </c>
      <c r="M47" s="76">
        <f t="shared" si="79"/>
        <v>-8.6583861010502972</v>
      </c>
      <c r="N47" s="76">
        <f t="shared" si="79"/>
        <v>-134.48419501691612</v>
      </c>
      <c r="O47" s="76">
        <f t="shared" si="79"/>
        <v>-59.65403046109963</v>
      </c>
      <c r="P47" s="76">
        <f t="shared" ref="P47:R47" si="80">P45-P46</f>
        <v>493.46176404017797</v>
      </c>
      <c r="Q47" s="76">
        <f t="shared" si="80"/>
        <v>-174.89400363416138</v>
      </c>
      <c r="R47" s="76">
        <f t="shared" si="80"/>
        <v>259.45000828407041</v>
      </c>
      <c r="S47" s="76">
        <f t="shared" ref="S47:U47" si="81">S45-S46</f>
        <v>256.40347406868915</v>
      </c>
      <c r="T47" s="76">
        <f t="shared" si="81"/>
        <v>481.68769708848345</v>
      </c>
      <c r="U47" s="76">
        <f t="shared" si="81"/>
        <v>115.15070386246543</v>
      </c>
      <c r="V47" s="76">
        <f t="shared" ref="V47:Y47" si="82">V45-V46</f>
        <v>-781.84703722953395</v>
      </c>
      <c r="W47" s="76">
        <f t="shared" si="82"/>
        <v>-1263.3382415081608</v>
      </c>
      <c r="X47" s="76">
        <f t="shared" si="82"/>
        <v>-509.35048518422104</v>
      </c>
      <c r="Y47" s="76">
        <f t="shared" si="82"/>
        <v>-874.55896704451618</v>
      </c>
      <c r="Z47" s="76">
        <f t="shared" ref="Z47:AA47" si="83">Z45-Z46</f>
        <v>-1007.5333204558624</v>
      </c>
      <c r="AA47" s="76">
        <f t="shared" si="83"/>
        <v>-933.49358974358972</v>
      </c>
      <c r="AB47" s="76">
        <f t="shared" ref="AB47:AC47" si="84">AB45-AB46</f>
        <v>-510.36682615630002</v>
      </c>
      <c r="AC47" s="76" t="e">
        <f t="shared" si="84"/>
        <v>#DIV/0!</v>
      </c>
    </row>
    <row r="48" spans="1:29" ht="15" thickTop="1" x14ac:dyDescent="0.3">
      <c r="A48" s="14"/>
      <c r="B48" s="14"/>
      <c r="C48" s="14"/>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row>
    <row r="49" spans="1:29" x14ac:dyDescent="0.3">
      <c r="A49" s="8" t="s">
        <v>2</v>
      </c>
      <c r="B49" s="8"/>
      <c r="C49" s="8"/>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row>
    <row r="50" spans="1:29" x14ac:dyDescent="0.3">
      <c r="A50" s="85" t="str">
        <f>'Annual Operational Data'!A31</f>
        <v>RPMs</v>
      </c>
      <c r="B50" s="12">
        <f>'Interim Operational Data'!B31</f>
        <v>14937</v>
      </c>
      <c r="C50" s="12">
        <f>'Interim Operational Data'!C31</f>
        <v>16845</v>
      </c>
      <c r="D50" s="12">
        <f>'Interim Operational Data'!D31</f>
        <v>20462</v>
      </c>
      <c r="E50" s="12">
        <f>'Interim Operational Data'!E31</f>
        <v>15301</v>
      </c>
      <c r="F50" s="12">
        <f>'Interim Operational Data'!F31</f>
        <v>16092</v>
      </c>
      <c r="G50" s="12">
        <f>'Interim Operational Data'!G31</f>
        <v>18418</v>
      </c>
      <c r="H50" s="12">
        <f>'Interim Operational Data'!H31</f>
        <v>24328</v>
      </c>
      <c r="I50" s="12">
        <f>'Interim Operational Data'!I31</f>
        <v>17643</v>
      </c>
      <c r="J50" s="12">
        <f>'Interim Operational Data'!J31</f>
        <v>18341</v>
      </c>
      <c r="K50" s="12">
        <f>'Interim Operational Data'!K31</f>
        <v>20928</v>
      </c>
      <c r="L50" s="12">
        <f>'Interim Operational Data'!L31</f>
        <v>26472</v>
      </c>
      <c r="M50" s="12">
        <f>'Interim Operational Data'!M31</f>
        <v>19396</v>
      </c>
      <c r="N50" s="12">
        <f>'Interim Operational Data'!N31</f>
        <v>20440</v>
      </c>
      <c r="O50" s="12">
        <f>'Interim Operational Data'!O31</f>
        <v>22654</v>
      </c>
      <c r="P50" s="12">
        <f>'Interim Operational Data'!P31</f>
        <v>28465</v>
      </c>
      <c r="Q50" s="12">
        <f>'Interim Operational Data'!Q31</f>
        <v>20801</v>
      </c>
      <c r="R50" s="12">
        <f>'Interim Operational Data'!R31</f>
        <v>21293</v>
      </c>
      <c r="S50" s="12">
        <f>'Interim Operational Data'!S31</f>
        <v>23463</v>
      </c>
      <c r="T50" s="12">
        <f>'Interim Operational Data'!T31</f>
        <v>27954</v>
      </c>
      <c r="U50" s="12">
        <f>'Interim Operational Data'!U31</f>
        <v>21403</v>
      </c>
      <c r="V50" s="12">
        <f>'Interim Operational Data'!V31</f>
        <v>17507</v>
      </c>
      <c r="W50" s="12">
        <f>'Interim Operational Data'!W31</f>
        <v>783</v>
      </c>
      <c r="X50" s="12">
        <f>'Interim Operational Data'!X31</f>
        <v>2517</v>
      </c>
      <c r="Y50" s="12">
        <f>'Interim Operational Data'!Y31</f>
        <v>2432</v>
      </c>
      <c r="Z50" s="12">
        <f>'Interim Operational Data'!Z31</f>
        <v>1831</v>
      </c>
      <c r="AA50" s="12">
        <f>'Interim Operational Data'!AA31</f>
        <v>1687</v>
      </c>
      <c r="AB50" s="12">
        <f>'Interim Operational Data'!AB31</f>
        <v>7915</v>
      </c>
      <c r="AC50" s="12">
        <f>'Interim Operational Data'!AC31</f>
        <v>0</v>
      </c>
    </row>
    <row r="51" spans="1:29" x14ac:dyDescent="0.3">
      <c r="A51" s="85" t="s">
        <v>0</v>
      </c>
      <c r="B51" s="40"/>
      <c r="C51" s="2" t="str">
        <f ca="1">IFERROR(IF(Inputs!$E$14 = "Semi-annual",(C50/OFFSET(C50,0,-2,,))-1,(C50/OFFSET(C50,0,-4,,))-1),"")</f>
        <v/>
      </c>
      <c r="D51" s="2" t="str">
        <f ca="1">IFERROR(IF(Inputs!$E$14 = "Semi-annual",(D50/OFFSET(D50,0,-2,,))-1,(D50/OFFSET(D50,0,-4,,))-1),"")</f>
        <v/>
      </c>
      <c r="E51" s="2" t="str">
        <f ca="1">IFERROR(IF(Inputs!$E$14 = "Semi-annual",(E50/OFFSET(E50,0,-2,,))-1,(E50/OFFSET(E50,0,-4,,))-1),"")</f>
        <v/>
      </c>
      <c r="F51" s="2">
        <f ca="1">IFERROR(IF(Inputs!$E$14 = "Semi-annual",(F50/OFFSET(F50,0,-2,,))-1,(F50/OFFSET(F50,0,-4,,))-1),"")</f>
        <v>7.7324764008837032E-2</v>
      </c>
      <c r="G51" s="2">
        <f ca="1">IFERROR(IF(Inputs!$E$14 = "Semi-annual",(G50/OFFSET(G50,0,-2,,))-1,(G50/OFFSET(G50,0,-4,,))-1),"")</f>
        <v>9.3380825170673809E-2</v>
      </c>
      <c r="H51" s="2">
        <f ca="1">IFERROR(IF(Inputs!$E$14 = "Semi-annual",(H50/OFFSET(H50,0,-2,,))-1,(H50/OFFSET(H50,0,-4,,))-1),"")</f>
        <v>0.1889355879190695</v>
      </c>
      <c r="I51" s="2">
        <f ca="1">IFERROR(IF(Inputs!$E$14 = "Semi-annual",(I50/OFFSET(I50,0,-2,,))-1,(I50/OFFSET(I50,0,-4,,))-1),"")</f>
        <v>0.15306189137964843</v>
      </c>
      <c r="J51" s="2">
        <f ca="1">IFERROR(IF(Inputs!$E$14 = "Semi-annual",(J50/OFFSET(J50,0,-2,,))-1,(J50/OFFSET(J50,0,-4,,))-1),"")</f>
        <v>0.13975888640318179</v>
      </c>
      <c r="K51" s="2">
        <f ca="1">IFERROR(IF(Inputs!$E$14 = "Semi-annual",(K50/OFFSET(K50,0,-2,,))-1,(K50/OFFSET(K50,0,-4,,))-1),"")</f>
        <v>0.13627972635465313</v>
      </c>
      <c r="L51" s="2">
        <f ca="1">IFERROR(IF(Inputs!$E$14 = "Semi-annual",(L50/OFFSET(L50,0,-2,,))-1,(L50/OFFSET(L50,0,-4,,))-1),"")</f>
        <v>8.8128904965471877E-2</v>
      </c>
      <c r="M51" s="2">
        <f ca="1">IFERROR(IF(Inputs!$E$14 = "Semi-annual",(M50/OFFSET(M50,0,-2,,))-1,(M50/OFFSET(M50,0,-4,,))-1),"")</f>
        <v>9.9359519356118531E-2</v>
      </c>
      <c r="N51" s="2">
        <f ca="1">IFERROR(IF(Inputs!$E$14 = "Semi-annual",(N50/OFFSET(N50,0,-2,,))-1,(N50/OFFSET(N50,0,-4,,))-1),"")</f>
        <v>0.11444305108772701</v>
      </c>
      <c r="O51" s="2">
        <f ca="1">IFERROR(IF(Inputs!$E$14 = "Semi-annual",(O50/OFFSET(O50,0,-2,,))-1,(O50/OFFSET(O50,0,-4,,))-1),"")</f>
        <v>8.2473241590214075E-2</v>
      </c>
      <c r="P51" s="2">
        <f ca="1">IFERROR(IF(Inputs!$E$14 = "Semi-annual",(P50/OFFSET(P50,0,-2,,))-1,(P50/OFFSET(P50,0,-4,,))-1),"")</f>
        <v>7.5287095799335235E-2</v>
      </c>
      <c r="Q51" s="2">
        <f ca="1">IFERROR(IF(Inputs!$E$14 = "Semi-annual",(Q50/OFFSET(Q50,0,-2,,))-1,(Q50/OFFSET(Q50,0,-4,,))-1),"")</f>
        <v>7.2437616003299565E-2</v>
      </c>
      <c r="R51" s="2">
        <f ca="1">IFERROR(IF(Inputs!$E$14 = "Semi-annual",(R50/OFFSET(R50,0,-2,,))-1,(R50/OFFSET(R50,0,-4,,))-1),"")</f>
        <v>4.1731898238747567E-2</v>
      </c>
      <c r="S51" s="2">
        <f ca="1">IFERROR(IF(Inputs!$E$14 = "Semi-annual",(S50/OFFSET(S50,0,-2,,))-1,(S50/OFFSET(S50,0,-4,,))-1),"")</f>
        <v>3.5711132691798264E-2</v>
      </c>
      <c r="T51" s="2">
        <f ca="1">IFERROR(IF(Inputs!$E$14 = "Semi-annual",(T50/OFFSET(T50,0,-2,,))-1,(T50/OFFSET(T50,0,-4,,))-1),"")</f>
        <v>-1.7951870718426188E-2</v>
      </c>
      <c r="U51" s="2">
        <f ca="1">IFERROR(IF(Inputs!$E$14 = "Semi-annual",(U50/OFFSET(U50,0,-2,,))-1,(U50/OFFSET(U50,0,-4,,))-1),"")</f>
        <v>2.8940916302100828E-2</v>
      </c>
      <c r="V51" s="2">
        <f ca="1">IFERROR(IF(Inputs!$E$14 = "Semi-annual",(V50/OFFSET(V50,0,-2,,))-1,(V50/OFFSET(V50,0,-4,,))-1),"")</f>
        <v>-0.17780491241252994</v>
      </c>
      <c r="W51" s="2">
        <f ca="1">IFERROR(IF(Inputs!$E$14 = "Semi-annual",(W50/OFFSET(W50,0,-2,,))-1,(W50/OFFSET(W50,0,-4,,))-1),"")</f>
        <v>-0.96662830840046032</v>
      </c>
      <c r="X51" s="2">
        <f ca="1">IFERROR(IF(Inputs!$E$14 = "Semi-annual",(X50/OFFSET(X50,0,-2,,))-1,(X50/OFFSET(X50,0,-4,,))-1),"")</f>
        <v>-0.90995921871646279</v>
      </c>
      <c r="Y51" s="2">
        <f ca="1">IFERROR(IF(Inputs!$E$14 = "Semi-annual",(Y50/OFFSET(Y50,0,-2,,))-1,(Y50/OFFSET(Y50,0,-4,,))-1),"")</f>
        <v>-0.88637106947624167</v>
      </c>
      <c r="Z51" s="2">
        <f ca="1">IFERROR(IF(Inputs!$E$14 = "Semi-annual",(Z50/OFFSET(Z50,0,-2,,))-1,(Z50/OFFSET(Z50,0,-4,,))-1),"")</f>
        <v>-0.89541326326612214</v>
      </c>
      <c r="AA51" s="2">
        <f ca="1">IFERROR(IF(Inputs!$E$14 = "Semi-annual",(AA50/OFFSET(AA50,0,-2,,))-1,(AA50/OFFSET(AA50,0,-4,,))-1),"")</f>
        <v>1.1545338441890167</v>
      </c>
      <c r="AB51" s="2">
        <f ca="1">IFERROR(IF(Inputs!$E$14 = "Semi-annual",(AB50/OFFSET(AB50,0,-2,,))-1,(AB50/OFFSET(AB50,0,-4,,))-1),"")</f>
        <v>2.144616607071911</v>
      </c>
      <c r="AC51" s="2">
        <f ca="1">IFERROR(IF(Inputs!$E$14 = "Semi-annual",(AC50/OFFSET(AC50,0,-2,,))-1,(AC50/OFFSET(AC50,0,-4,,))-1),"")</f>
        <v>-1</v>
      </c>
    </row>
    <row r="52" spans="1:29" x14ac:dyDescent="0.3">
      <c r="A52" s="85" t="str">
        <f>'Annual Operational Data'!A33</f>
        <v>ASMs</v>
      </c>
      <c r="B52" s="12">
        <f>'Interim Operational Data'!B33</f>
        <v>18335</v>
      </c>
      <c r="C52" s="12">
        <f>'Interim Operational Data'!C33</f>
        <v>20132</v>
      </c>
      <c r="D52" s="12">
        <f>'Interim Operational Data'!D33</f>
        <v>23535</v>
      </c>
      <c r="E52" s="12">
        <f>'Interim Operational Data'!E33</f>
        <v>18869</v>
      </c>
      <c r="F52" s="12">
        <f>'Interim Operational Data'!F33</f>
        <v>19833</v>
      </c>
      <c r="G52" s="12">
        <f>'Interim Operational Data'!G33</f>
        <v>22344</v>
      </c>
      <c r="H52" s="12">
        <f>'Interim Operational Data'!H33</f>
        <v>28458</v>
      </c>
      <c r="I52" s="12">
        <f>'Interim Operational Data'!I33</f>
        <v>22091</v>
      </c>
      <c r="J52" s="12">
        <f>'Interim Operational Data'!J33</f>
        <v>22894</v>
      </c>
      <c r="K52" s="12">
        <f>'Interim Operational Data'!K33</f>
        <v>25357</v>
      </c>
      <c r="L52" s="12">
        <f>'Interim Operational Data'!L33</f>
        <v>31050</v>
      </c>
      <c r="M52" s="12">
        <f>'Interim Operational Data'!M33</f>
        <v>24191</v>
      </c>
      <c r="N52" s="12">
        <f>'Interim Operational Data'!N33</f>
        <v>24862</v>
      </c>
      <c r="O52" s="12">
        <f>'Interim Operational Data'!O33</f>
        <v>27269</v>
      </c>
      <c r="P52" s="12">
        <f>'Interim Operational Data'!P33</f>
        <v>33137</v>
      </c>
      <c r="Q52" s="12">
        <f>'Interim Operational Data'!Q33</f>
        <v>25598</v>
      </c>
      <c r="R52" s="12">
        <f>'Interim Operational Data'!R33</f>
        <v>26016</v>
      </c>
      <c r="S52" s="12">
        <f>'Interim Operational Data'!S33</f>
        <v>27910</v>
      </c>
      <c r="T52" s="12">
        <f>'Interim Operational Data'!T33</f>
        <v>32457</v>
      </c>
      <c r="U52" s="12">
        <f>'Interim Operational Data'!U33</f>
        <v>26431</v>
      </c>
      <c r="V52" s="12">
        <f>'Interim Operational Data'!V33</f>
        <v>23511</v>
      </c>
      <c r="W52" s="12">
        <f>'Interim Operational Data'!W33</f>
        <v>2243</v>
      </c>
      <c r="X52" s="12">
        <f>'Interim Operational Data'!X33</f>
        <v>5949</v>
      </c>
      <c r="Y52" s="12">
        <f>'Interim Operational Data'!Y33</f>
        <v>6000</v>
      </c>
      <c r="Z52" s="12">
        <f>'Interim Operational Data'!Z33</f>
        <v>4211</v>
      </c>
      <c r="AA52" s="12">
        <f>'Interim Operational Data'!AA33</f>
        <v>4000</v>
      </c>
      <c r="AB52" s="12">
        <f>'Interim Operational Data'!AB33</f>
        <v>11116</v>
      </c>
      <c r="AC52" s="12">
        <f>'Interim Operational Data'!AC33</f>
        <v>0</v>
      </c>
    </row>
    <row r="53" spans="1:29" x14ac:dyDescent="0.3">
      <c r="A53" s="85" t="s">
        <v>0</v>
      </c>
      <c r="B53" s="40"/>
      <c r="C53" s="2" t="str">
        <f ca="1">IFERROR(IF(Inputs!$E$14 = "Semi-annual",(C52/OFFSET(C52,0,-2,,))-1,(C52/OFFSET(C52,0,-4,,))-1),"")</f>
        <v/>
      </c>
      <c r="D53" s="2" t="str">
        <f ca="1">IFERROR(IF(Inputs!$E$14 = "Semi-annual",(D52/OFFSET(D52,0,-2,,))-1,(D52/OFFSET(D52,0,-4,,))-1),"")</f>
        <v/>
      </c>
      <c r="E53" s="2" t="str">
        <f ca="1">IFERROR(IF(Inputs!$E$14 = "Semi-annual",(E52/OFFSET(E52,0,-2,,))-1,(E52/OFFSET(E52,0,-4,,))-1),"")</f>
        <v/>
      </c>
      <c r="F53" s="2">
        <f ca="1">IFERROR(IF(Inputs!$E$14 = "Semi-annual",(F52/OFFSET(F52,0,-2,,))-1,(F52/OFFSET(F52,0,-4,,))-1),"")</f>
        <v>8.1701663485137743E-2</v>
      </c>
      <c r="G53" s="2">
        <f ca="1">IFERROR(IF(Inputs!$E$14 = "Semi-annual",(G52/OFFSET(G52,0,-2,,))-1,(G52/OFFSET(G52,0,-4,,))-1),"")</f>
        <v>0.10987482614742694</v>
      </c>
      <c r="H53" s="2">
        <f ca="1">IFERROR(IF(Inputs!$E$14 = "Semi-annual",(H52/OFFSET(H52,0,-2,,))-1,(H52/OFFSET(H52,0,-4,,))-1),"")</f>
        <v>0.20917782026768639</v>
      </c>
      <c r="I53" s="2">
        <f ca="1">IFERROR(IF(Inputs!$E$14 = "Semi-annual",(I52/OFFSET(I52,0,-2,,))-1,(I52/OFFSET(I52,0,-4,,))-1),"")</f>
        <v>0.17075626689278711</v>
      </c>
      <c r="J53" s="2">
        <f ca="1">IFERROR(IF(Inputs!$E$14 = "Semi-annual",(J52/OFFSET(J52,0,-2,,))-1,(J52/OFFSET(J52,0,-4,,))-1),"")</f>
        <v>0.1543387283819897</v>
      </c>
      <c r="K53" s="2">
        <f ca="1">IFERROR(IF(Inputs!$E$14 = "Semi-annual",(K52/OFFSET(K52,0,-2,,))-1,(K52/OFFSET(K52,0,-4,,))-1),"")</f>
        <v>0.13484604368063025</v>
      </c>
      <c r="L53" s="2">
        <f ca="1">IFERROR(IF(Inputs!$E$14 = "Semi-annual",(L52/OFFSET(L52,0,-2,,))-1,(L52/OFFSET(L52,0,-4,,))-1),"")</f>
        <v>9.1081593927893723E-2</v>
      </c>
      <c r="M53" s="2">
        <f ca="1">IFERROR(IF(Inputs!$E$14 = "Semi-annual",(M52/OFFSET(M52,0,-2,,))-1,(M52/OFFSET(M52,0,-4,,))-1),"")</f>
        <v>9.5061337196143292E-2</v>
      </c>
      <c r="N53" s="2">
        <f ca="1">IFERROR(IF(Inputs!$E$14 = "Semi-annual",(N52/OFFSET(N52,0,-2,,))-1,(N52/OFFSET(N52,0,-4,,))-1),"")</f>
        <v>8.5961387263038258E-2</v>
      </c>
      <c r="O53" s="2">
        <f ca="1">IFERROR(IF(Inputs!$E$14 = "Semi-annual",(O52/OFFSET(O52,0,-2,,))-1,(O52/OFFSET(O52,0,-4,,))-1),"")</f>
        <v>7.5403241708404067E-2</v>
      </c>
      <c r="P53" s="2">
        <f ca="1">IFERROR(IF(Inputs!$E$14 = "Semi-annual",(P52/OFFSET(P52,0,-2,,))-1,(P52/OFFSET(P52,0,-4,,))-1),"")</f>
        <v>6.721417069243163E-2</v>
      </c>
      <c r="Q53" s="2">
        <f ca="1">IFERROR(IF(Inputs!$E$14 = "Semi-annual",(Q52/OFFSET(Q52,0,-2,,))-1,(Q52/OFFSET(Q52,0,-4,,))-1),"")</f>
        <v>5.8162126410648662E-2</v>
      </c>
      <c r="R53" s="2">
        <f ca="1">IFERROR(IF(Inputs!$E$14 = "Semi-annual",(R52/OFFSET(R52,0,-2,,))-1,(R52/OFFSET(R52,0,-4,,))-1),"")</f>
        <v>4.6416217520714342E-2</v>
      </c>
      <c r="S53" s="2">
        <f ca="1">IFERROR(IF(Inputs!$E$14 = "Semi-annual",(S52/OFFSET(S52,0,-2,,))-1,(S52/OFFSET(S52,0,-4,,))-1),"")</f>
        <v>2.3506545894605546E-2</v>
      </c>
      <c r="T53" s="2">
        <f ca="1">IFERROR(IF(Inputs!$E$14 = "Semi-annual",(T52/OFFSET(T52,0,-2,,))-1,(T52/OFFSET(T52,0,-4,,))-1),"")</f>
        <v>-2.0520867912001695E-2</v>
      </c>
      <c r="U53" s="2">
        <f ca="1">IFERROR(IF(Inputs!$E$14 = "Semi-annual",(U52/OFFSET(U52,0,-2,,))-1,(U52/OFFSET(U52,0,-4,,))-1),"")</f>
        <v>3.2541604812875935E-2</v>
      </c>
      <c r="V53" s="2">
        <f ca="1">IFERROR(IF(Inputs!$E$14 = "Semi-annual",(V52/OFFSET(V52,0,-2,,))-1,(V52/OFFSET(V52,0,-4,,))-1),"")</f>
        <v>-9.628690036900367E-2</v>
      </c>
      <c r="W53" s="2">
        <f ca="1">IFERROR(IF(Inputs!$E$14 = "Semi-annual",(W52/OFFSET(W52,0,-2,,))-1,(W52/OFFSET(W52,0,-4,,))-1),"")</f>
        <v>-0.91963453959154429</v>
      </c>
      <c r="X53" s="2">
        <f ca="1">IFERROR(IF(Inputs!$E$14 = "Semi-annual",(X52/OFFSET(X52,0,-2,,))-1,(X52/OFFSET(X52,0,-4,,))-1),"")</f>
        <v>-0.81671134115907207</v>
      </c>
      <c r="Y53" s="2">
        <f ca="1">IFERROR(IF(Inputs!$E$14 = "Semi-annual",(Y52/OFFSET(Y52,0,-2,,))-1,(Y52/OFFSET(Y52,0,-4,,))-1),"")</f>
        <v>-0.77299383299912983</v>
      </c>
      <c r="Z53" s="2">
        <f ca="1">IFERROR(IF(Inputs!$E$14 = "Semi-annual",(Z52/OFFSET(Z52,0,-2,,))-1,(Z52/OFFSET(Z52,0,-4,,))-1),"")</f>
        <v>-0.82089234826251545</v>
      </c>
      <c r="AA53" s="2">
        <f ca="1">IFERROR(IF(Inputs!$E$14 = "Semi-annual",(AA52/OFFSET(AA52,0,-2,,))-1,(AA52/OFFSET(AA52,0,-4,,))-1),"")</f>
        <v>0.78332590280873826</v>
      </c>
      <c r="AB53" s="2">
        <f ca="1">IFERROR(IF(Inputs!$E$14 = "Semi-annual",(AB52/OFFSET(AB52,0,-2,,))-1,(AB52/OFFSET(AB52,0,-4,,))-1),"")</f>
        <v>0.86854933602286089</v>
      </c>
      <c r="AC53" s="2">
        <f ca="1">IFERROR(IF(Inputs!$E$14 = "Semi-annual",(AC52/OFFSET(AC52,0,-2,,))-1,(AC52/OFFSET(AC52,0,-4,,))-1),"")</f>
        <v>-1</v>
      </c>
    </row>
    <row r="54" spans="1:29" x14ac:dyDescent="0.3">
      <c r="A54" s="85" t="s">
        <v>45</v>
      </c>
      <c r="B54" s="2">
        <f>IFERROR(B50/B52,"N/A")</f>
        <v>0.81467139350968099</v>
      </c>
      <c r="C54" s="2">
        <f t="shared" ref="C54:J54" si="85">IFERROR(C50/C52,"N/A")</f>
        <v>0.83672759785416251</v>
      </c>
      <c r="D54" s="2">
        <f t="shared" si="85"/>
        <v>0.86942851072870198</v>
      </c>
      <c r="E54" s="2">
        <f t="shared" si="85"/>
        <v>0.81090677831363611</v>
      </c>
      <c r="F54" s="2">
        <f t="shared" si="85"/>
        <v>0.81137498109211914</v>
      </c>
      <c r="G54" s="2">
        <f t="shared" si="85"/>
        <v>0.82429287504475479</v>
      </c>
      <c r="H54" s="2">
        <f t="shared" si="85"/>
        <v>0.85487384918124953</v>
      </c>
      <c r="I54" s="2">
        <f t="shared" si="85"/>
        <v>0.79865103435788332</v>
      </c>
      <c r="J54" s="2">
        <f t="shared" si="85"/>
        <v>0.80112693282082637</v>
      </c>
      <c r="K54" s="2">
        <f>IFERROR(K50/K52,"N/A")</f>
        <v>0.82533422723508298</v>
      </c>
      <c r="L54" s="2">
        <f t="shared" ref="L54:O54" si="86">IFERROR(L50/L52,"N/A")</f>
        <v>0.85256038647342991</v>
      </c>
      <c r="M54" s="2">
        <f t="shared" si="86"/>
        <v>0.80178578810301349</v>
      </c>
      <c r="N54" s="2">
        <f t="shared" si="86"/>
        <v>0.82213820287989703</v>
      </c>
      <c r="O54" s="2">
        <f t="shared" si="86"/>
        <v>0.8307602038945322</v>
      </c>
      <c r="P54" s="2">
        <f t="shared" ref="P54:R54" si="87">IFERROR(P50/P52,"N/A")</f>
        <v>0.85900956634577663</v>
      </c>
      <c r="Q54" s="2">
        <f t="shared" si="87"/>
        <v>0.81260254707399016</v>
      </c>
      <c r="R54" s="2">
        <f t="shared" si="87"/>
        <v>0.81845787207872078</v>
      </c>
      <c r="S54" s="2">
        <f t="shared" ref="S54:U54" si="88">IFERROR(S50/S52,"N/A")</f>
        <v>0.84066642780365464</v>
      </c>
      <c r="T54" s="2">
        <f t="shared" si="88"/>
        <v>0.86126259358535906</v>
      </c>
      <c r="U54" s="2">
        <f t="shared" si="88"/>
        <v>0.80976883205327077</v>
      </c>
      <c r="V54" s="2">
        <f t="shared" ref="V54:Y54" si="89">IFERROR(V50/V52,"N/A")</f>
        <v>0.74463017311045898</v>
      </c>
      <c r="W54" s="2">
        <f t="shared" si="89"/>
        <v>0.34908604547481054</v>
      </c>
      <c r="X54" s="2">
        <f t="shared" si="89"/>
        <v>0.42309631870902675</v>
      </c>
      <c r="Y54" s="2">
        <f t="shared" si="89"/>
        <v>0.40533333333333332</v>
      </c>
      <c r="Z54" s="2">
        <f t="shared" ref="Z54:AA54" si="90">IFERROR(Z50/Z52,"N/A")</f>
        <v>0.43481358347185939</v>
      </c>
      <c r="AA54" s="2">
        <f t="shared" si="90"/>
        <v>0.42175000000000001</v>
      </c>
      <c r="AB54" s="2">
        <f t="shared" ref="AB54:AC54" si="91">IFERROR(AB50/AB52,"N/A")</f>
        <v>0.71203670385030582</v>
      </c>
      <c r="AC54" s="2" t="str">
        <f t="shared" si="91"/>
        <v>N/A</v>
      </c>
    </row>
    <row r="55" spans="1:29" x14ac:dyDescent="0.3">
      <c r="A55" s="85" t="s">
        <v>46</v>
      </c>
      <c r="B55" s="12">
        <f>'Interim Operational Data'!B27</f>
        <v>9487</v>
      </c>
      <c r="C55" s="12">
        <f>'Interim Operational Data'!C27</f>
        <v>10229</v>
      </c>
      <c r="D55" s="12">
        <f>'Interim Operational Data'!D27</f>
        <v>11723</v>
      </c>
      <c r="E55" s="12">
        <f>'Interim Operational Data'!E27</f>
        <v>9686</v>
      </c>
      <c r="F55" s="12">
        <f>'Interim Operational Data'!F27</f>
        <v>9957</v>
      </c>
      <c r="G55" s="12">
        <f>'Interim Operational Data'!G27</f>
        <v>10846</v>
      </c>
      <c r="H55" s="12">
        <f>'Interim Operational Data'!H27</f>
        <v>13327</v>
      </c>
      <c r="I55" s="12">
        <f>'Interim Operational Data'!I27</f>
        <v>10719</v>
      </c>
      <c r="J55" s="12">
        <f>'Interim Operational Data'!J27</f>
        <v>10924</v>
      </c>
      <c r="K55" s="12">
        <f>'Interim Operational Data'!K27</f>
        <v>11895</v>
      </c>
      <c r="L55" s="12">
        <f>'Interim Operational Data'!L27</f>
        <v>13993</v>
      </c>
      <c r="M55" s="12">
        <f>'Interim Operational Data'!M27</f>
        <v>11314</v>
      </c>
      <c r="N55" s="12">
        <f>'Interim Operational Data'!N27</f>
        <v>11654</v>
      </c>
      <c r="O55" s="12">
        <f>'Interim Operational Data'!O27</f>
        <v>12535</v>
      </c>
      <c r="P55" s="12">
        <f>'Interim Operational Data'!P27</f>
        <v>14806</v>
      </c>
      <c r="Q55" s="12">
        <f>'Interim Operational Data'!Q27</f>
        <v>11909</v>
      </c>
      <c r="R55" s="12">
        <f>'Interim Operational Data'!R27</f>
        <v>12031</v>
      </c>
      <c r="S55" s="12">
        <f>'Interim Operational Data'!S27</f>
        <v>12837</v>
      </c>
      <c r="T55" s="12">
        <f>'Interim Operational Data'!T27</f>
        <v>14627</v>
      </c>
      <c r="U55" s="12">
        <f>'Interim Operational Data'!U27</f>
        <v>12048</v>
      </c>
      <c r="V55" s="12">
        <f>'Interim Operational Data'!V27</f>
        <v>9927</v>
      </c>
      <c r="W55" s="12">
        <f>'Interim Operational Data'!W27</f>
        <v>480</v>
      </c>
      <c r="X55" s="12">
        <f>'Interim Operational Data'!X27</f>
        <v>1728</v>
      </c>
      <c r="Y55" s="12">
        <f>'Interim Operational Data'!Y27</f>
        <v>1625</v>
      </c>
      <c r="Z55" s="12">
        <f>'Interim Operational Data'!Z27</f>
        <v>1124</v>
      </c>
      <c r="AA55" s="12">
        <f>'Interim Operational Data'!AA27</f>
        <v>1165</v>
      </c>
      <c r="AB55" s="12">
        <f>'Interim Operational Data'!AB27</f>
        <v>5067</v>
      </c>
      <c r="AC55" s="12">
        <f>'Interim Operational Data'!AC27</f>
        <v>0</v>
      </c>
    </row>
    <row r="56" spans="1:29" x14ac:dyDescent="0.3">
      <c r="A56" s="8" t="s">
        <v>10</v>
      </c>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row>
    <row r="57" spans="1:29" x14ac:dyDescent="0.3">
      <c r="A57" s="85" t="s">
        <v>461</v>
      </c>
      <c r="B57" s="5">
        <f>IFERROR(B8*1000/B55, "N/A")</f>
        <v>237.14600735189569</v>
      </c>
      <c r="C57" s="5">
        <f t="shared" ref="C57:R57" si="92">IFERROR(C8*1000/C55, "N/A")</f>
        <v>245.0252708864281</v>
      </c>
      <c r="D57" s="5">
        <f t="shared" si="92"/>
        <v>242.60751987430717</v>
      </c>
      <c r="E57" s="5">
        <f t="shared" si="92"/>
        <v>219.3934502000881</v>
      </c>
      <c r="F57" s="5">
        <f t="shared" si="92"/>
        <v>209.32591888942088</v>
      </c>
      <c r="G57" s="5">
        <f t="shared" si="92"/>
        <v>224.82543835499001</v>
      </c>
      <c r="H57" s="5">
        <f t="shared" si="92"/>
        <v>236.34814069381622</v>
      </c>
      <c r="I57" s="5">
        <f t="shared" si="92"/>
        <v>212.17091356286309</v>
      </c>
      <c r="J57" s="5">
        <f t="shared" si="92"/>
        <v>214.0340312090303</v>
      </c>
      <c r="K57" s="5">
        <f t="shared" si="92"/>
        <v>219.50293227083179</v>
      </c>
      <c r="L57" s="5">
        <f t="shared" si="92"/>
        <v>255.23372687695147</v>
      </c>
      <c r="M57" s="5">
        <f t="shared" si="92"/>
        <v>235.21946588820077</v>
      </c>
      <c r="N57" s="5">
        <f t="shared" si="92"/>
        <v>236.83630786400957</v>
      </c>
      <c r="O57" s="5">
        <f t="shared" si="92"/>
        <v>242.33802852063388</v>
      </c>
      <c r="P57" s="5">
        <f t="shared" si="92"/>
        <v>259.29055913364448</v>
      </c>
      <c r="Q57" s="5">
        <f t="shared" si="92"/>
        <v>241.26783366635715</v>
      </c>
      <c r="R57" s="5">
        <f t="shared" si="92"/>
        <v>238.52902504568738</v>
      </c>
      <c r="S57" s="5">
        <f t="shared" ref="S57:U57" si="93">IFERROR(S8*1000/S55, "N/A")</f>
        <v>252.61305535360893</v>
      </c>
      <c r="T57" s="5">
        <f t="shared" si="93"/>
        <v>267.38645940854303</v>
      </c>
      <c r="U57" s="5">
        <f t="shared" si="93"/>
        <v>246.10977958652717</v>
      </c>
      <c r="V57" s="5">
        <f t="shared" ref="V57:Y57" si="94">IFERROR(V8*1000/V55, "N/A")</f>
        <v>239.73265946018913</v>
      </c>
      <c r="W57" s="5">
        <f t="shared" si="94"/>
        <v>310.967246946572</v>
      </c>
      <c r="X57" s="5">
        <f t="shared" si="94"/>
        <v>218.16766016862681</v>
      </c>
      <c r="Y57" s="5">
        <f t="shared" si="94"/>
        <v>219.43374544530613</v>
      </c>
      <c r="Z57" s="5">
        <f t="shared" ref="Z57:AA57" si="95">IFERROR(Z8*1000/Z55, "N/A")</f>
        <v>271.52674332198882</v>
      </c>
      <c r="AA57" s="5">
        <f t="shared" si="95"/>
        <v>293.00099042588317</v>
      </c>
      <c r="AB57" s="5">
        <f t="shared" ref="AB57:AC57" si="96">IFERROR(AB8*1000/AB55, "N/A")</f>
        <v>257.47487652694718</v>
      </c>
      <c r="AC57" s="5" t="str">
        <f t="shared" si="96"/>
        <v>N/A</v>
      </c>
    </row>
    <row r="58" spans="1:29" x14ac:dyDescent="0.3">
      <c r="A58" s="85" t="s">
        <v>0</v>
      </c>
      <c r="B58" s="40"/>
      <c r="C58" s="2" t="str">
        <f ca="1">IFERROR(IF(Inputs!$E$14 = "Semi-annual",(C57/OFFSET(C57,0,-2,,))-1,(C57/OFFSET(C57,0,-4,,))-1),"")</f>
        <v/>
      </c>
      <c r="D58" s="2" t="str">
        <f ca="1">IFERROR(IF(Inputs!$E$14 = "Semi-annual",(D57/OFFSET(D57,0,-2,,))-1,(D57/OFFSET(D57,0,-4,,))-1),"")</f>
        <v/>
      </c>
      <c r="E58" s="2" t="str">
        <f ca="1">IFERROR(IF(Inputs!$E$14 = "Semi-annual",(E57/OFFSET(E57,0,-2,,))-1,(E57/OFFSET(E57,0,-4,,))-1),"")</f>
        <v/>
      </c>
      <c r="F58" s="2">
        <f ca="1">IFERROR(IF(Inputs!$E$14 = "Semi-annual",(F57/OFFSET(F57,0,-2,,))-1,(F57/OFFSET(F57,0,-4,,))-1),"")</f>
        <v>-0.1173120676714291</v>
      </c>
      <c r="G58" s="2">
        <f ca="1">IFERROR(IF(Inputs!$E$14 = "Semi-annual",(G57/OFFSET(G57,0,-2,,))-1,(G57/OFFSET(G57,0,-4,,))-1),"")</f>
        <v>-8.2439792672654333E-2</v>
      </c>
      <c r="H58" s="2">
        <f ca="1">IFERROR(IF(Inputs!$E$14 = "Semi-annual",(H57/OFFSET(H57,0,-2,,))-1,(H57/OFFSET(H57,0,-4,,))-1),"")</f>
        <v>-2.5800433489175822E-2</v>
      </c>
      <c r="I58" s="2">
        <f ca="1">IFERROR(IF(Inputs!$E$14 = "Semi-annual",(I57/OFFSET(I57,0,-2,,))-1,(I57/OFFSET(I57,0,-4,,))-1),"")</f>
        <v>-3.2920475203968125E-2</v>
      </c>
      <c r="J58" s="2">
        <f ca="1">IFERROR(IF(Inputs!$E$14 = "Semi-annual",(J57/OFFSET(J57,0,-2,,))-1,(J57/OFFSET(J57,0,-4,,))-1),"")</f>
        <v>2.2491779061992512E-2</v>
      </c>
      <c r="K58" s="2">
        <f ca="1">IFERROR(IF(Inputs!$E$14 = "Semi-annual",(K57/OFFSET(K57,0,-2,,))-1,(K57/OFFSET(K57,0,-4,,))-1),"")</f>
        <v>-2.3673949545487849E-2</v>
      </c>
      <c r="L58" s="2">
        <f ca="1">IFERROR(IF(Inputs!$E$14 = "Semi-annual",(L57/OFFSET(L57,0,-2,,))-1,(L57/OFFSET(L57,0,-4,,))-1),"")</f>
        <v>7.9905795440976535E-2</v>
      </c>
      <c r="M58" s="2">
        <f ca="1">IFERROR(IF(Inputs!$E$14 = "Semi-annual",(M57/OFFSET(M57,0,-2,,))-1,(M57/OFFSET(M57,0,-4,,))-1),"")</f>
        <v>0.10863200774458992</v>
      </c>
      <c r="N58" s="2">
        <f ca="1">IFERROR(IF(Inputs!$E$14 = "Semi-annual",(N57/OFFSET(N57,0,-2,,))-1,(N57/OFFSET(N57,0,-4,,))-1),"")</f>
        <v>0.10653575287151451</v>
      </c>
      <c r="O58" s="2">
        <f ca="1">IFERROR(IF(Inputs!$E$14 = "Semi-annual",(O57/OFFSET(O57,0,-2,,))-1,(O57/OFFSET(O57,0,-4,,))-1),"")</f>
        <v>0.10403093942101505</v>
      </c>
      <c r="P58" s="2">
        <f ca="1">IFERROR(IF(Inputs!$E$14 = "Semi-annual",(P57/OFFSET(P57,0,-2,,))-1,(P57/OFFSET(P57,0,-4,,))-1),"")</f>
        <v>1.5894577516586628E-2</v>
      </c>
      <c r="Q58" s="2">
        <f ca="1">IFERROR(IF(Inputs!$E$14 = "Semi-annual",(Q57/OFFSET(Q57,0,-2,,))-1,(Q57/OFFSET(Q57,0,-4,,))-1),"")</f>
        <v>2.5713721248866062E-2</v>
      </c>
      <c r="R58" s="2">
        <f ca="1">IFERROR(IF(Inputs!$E$14 = "Semi-annual",(R57/OFFSET(R57,0,-2,,))-1,(R57/OFFSET(R57,0,-4,,))-1),"")</f>
        <v>7.1472030489925231E-3</v>
      </c>
      <c r="S58" s="2">
        <f ca="1">IFERROR(IF(Inputs!$E$14 = "Semi-annual",(S57/OFFSET(S57,0,-2,,))-1,(S57/OFFSET(S57,0,-4,,))-1),"")</f>
        <v>4.2399564342829432E-2</v>
      </c>
      <c r="T58" s="2">
        <f ca="1">IFERROR(IF(Inputs!$E$14 = "Semi-annual",(T57/OFFSET(T57,0,-2,,))-1,(T57/OFFSET(T57,0,-4,,))-1),"")</f>
        <v>3.1223274391281475E-2</v>
      </c>
      <c r="U58" s="2">
        <f ca="1">IFERROR(IF(Inputs!$E$14 = "Semi-annual",(U57/OFFSET(U57,0,-2,,))-1,(U57/OFFSET(U57,0,-4,,))-1),"")</f>
        <v>2.0068758634712136E-2</v>
      </c>
      <c r="V58" s="2">
        <f ca="1">IFERROR(IF(Inputs!$E$14 = "Semi-annual",(V57/OFFSET(V57,0,-2,,))-1,(V57/OFFSET(V57,0,-4,,))-1),"")</f>
        <v>5.0460710778119644E-3</v>
      </c>
      <c r="W58" s="2">
        <f ca="1">IFERROR(IF(Inputs!$E$14 = "Semi-annual",(W57/OFFSET(W57,0,-2,,))-1,(W57/OFFSET(W57,0,-4,,))-1),"")</f>
        <v>0.23100227940032081</v>
      </c>
      <c r="X58" s="2">
        <f ca="1">IFERROR(IF(Inputs!$E$14 = "Semi-annual",(X57/OFFSET(X57,0,-2,,))-1,(X57/OFFSET(X57,0,-4,,))-1),"")</f>
        <v>-0.18407364138329163</v>
      </c>
      <c r="Y58" s="2">
        <f ca="1">IFERROR(IF(Inputs!$E$14 = "Semi-annual",(Y57/OFFSET(Y57,0,-2,,))-1,(Y57/OFFSET(Y57,0,-4,,))-1),"")</f>
        <v>-0.10839079286502828</v>
      </c>
      <c r="Z58" s="2">
        <f ca="1">IFERROR(IF(Inputs!$E$14 = "Semi-annual",(Z57/OFFSET(Z57,0,-2,,))-1,(Z57/OFFSET(Z57,0,-4,,))-1),"")</f>
        <v>0.13262308078253104</v>
      </c>
      <c r="AA58" s="2">
        <f ca="1">IFERROR(IF(Inputs!$E$14 = "Semi-annual",(AA57/OFFSET(AA57,0,-2,,))-1,(AA57/OFFSET(AA57,0,-4,,))-1),"")</f>
        <v>-5.7775398203836037E-2</v>
      </c>
      <c r="AB58" s="2">
        <f ca="1">IFERROR(IF(Inputs!$E$14 = "Semi-annual",(AB57/OFFSET(AB57,0,-2,,))-1,(AB57/OFFSET(AB57,0,-4,,))-1),"")</f>
        <v>0.18016976635280835</v>
      </c>
      <c r="AC58" s="2" t="str">
        <f ca="1">IFERROR(IF(Inputs!$E$14 = "Semi-annual",(AC57/OFFSET(AC57,0,-2,,))-1,(AC57/OFFSET(AC57,0,-4,,))-1),"")</f>
        <v/>
      </c>
    </row>
    <row r="59" spans="1:29" x14ac:dyDescent="0.3">
      <c r="A59" s="85" t="s">
        <v>616</v>
      </c>
      <c r="B59" s="5">
        <f>IFERROR(B9*1000/B55, "N/A")</f>
        <v>0</v>
      </c>
      <c r="C59" s="2">
        <f t="shared" ref="C59:R59" si="97">IFERROR(C9*1000/C55, "N/A")</f>
        <v>0</v>
      </c>
      <c r="D59" s="2">
        <f t="shared" si="97"/>
        <v>0</v>
      </c>
      <c r="E59" s="2">
        <f t="shared" si="97"/>
        <v>0</v>
      </c>
      <c r="F59" s="2">
        <f t="shared" si="97"/>
        <v>0</v>
      </c>
      <c r="G59" s="2">
        <f t="shared" si="97"/>
        <v>0</v>
      </c>
      <c r="H59" s="2">
        <f t="shared" si="97"/>
        <v>0</v>
      </c>
      <c r="I59" s="2">
        <f t="shared" si="97"/>
        <v>0</v>
      </c>
      <c r="J59" s="2">
        <f t="shared" si="97"/>
        <v>0</v>
      </c>
      <c r="K59" s="2">
        <f t="shared" si="97"/>
        <v>0</v>
      </c>
      <c r="L59" s="2">
        <f t="shared" si="97"/>
        <v>0</v>
      </c>
      <c r="M59" s="2">
        <f t="shared" si="97"/>
        <v>0</v>
      </c>
      <c r="N59" s="2">
        <f t="shared" si="97"/>
        <v>0</v>
      </c>
      <c r="O59" s="2">
        <f t="shared" si="97"/>
        <v>0</v>
      </c>
      <c r="P59" s="2">
        <f t="shared" si="97"/>
        <v>0</v>
      </c>
      <c r="Q59" s="2">
        <f t="shared" si="97"/>
        <v>0</v>
      </c>
      <c r="R59" s="2">
        <f t="shared" si="97"/>
        <v>0</v>
      </c>
      <c r="S59" s="2">
        <f t="shared" ref="S59:U59" si="98">IFERROR(S9*1000/S55, "N/A")</f>
        <v>0</v>
      </c>
      <c r="T59" s="2">
        <f t="shared" si="98"/>
        <v>0</v>
      </c>
      <c r="U59" s="2">
        <f t="shared" si="98"/>
        <v>0</v>
      </c>
      <c r="V59" s="2">
        <f t="shared" ref="V59:Y59" si="99">IFERROR(V9*1000/V55, "N/A")</f>
        <v>0</v>
      </c>
      <c r="W59" s="2">
        <f t="shared" si="99"/>
        <v>0</v>
      </c>
      <c r="X59" s="2">
        <f t="shared" si="99"/>
        <v>0</v>
      </c>
      <c r="Y59" s="2">
        <f t="shared" si="99"/>
        <v>0</v>
      </c>
      <c r="Z59" s="2">
        <f t="shared" ref="Z59:AA59" si="100">IFERROR(Z9*1000/Z55, "N/A")</f>
        <v>0</v>
      </c>
      <c r="AA59" s="2">
        <f t="shared" si="100"/>
        <v>0</v>
      </c>
      <c r="AB59" s="2">
        <f t="shared" ref="AB59:AC59" si="101">IFERROR(AB9*1000/AB55, "N/A")</f>
        <v>0</v>
      </c>
      <c r="AC59" s="2" t="str">
        <f t="shared" si="101"/>
        <v>N/A</v>
      </c>
    </row>
    <row r="60" spans="1:29" x14ac:dyDescent="0.3">
      <c r="A60" s="85" t="s">
        <v>0</v>
      </c>
      <c r="B60" s="40"/>
      <c r="C60" s="2" t="str">
        <f ca="1">IFERROR(IF(Inputs!$E$14 = "Semi-annual",(C59/OFFSET(C59,0,-2,,))-1,(C59/OFFSET(C59,0,-4,,))-1),"")</f>
        <v/>
      </c>
      <c r="D60" s="2" t="str">
        <f ca="1">IFERROR(IF(Inputs!$E$14 = "Semi-annual",(D59/OFFSET(D59,0,-2,,))-1,(D59/OFFSET(D59,0,-4,,))-1),"")</f>
        <v/>
      </c>
      <c r="E60" s="2" t="str">
        <f ca="1">IFERROR(IF(Inputs!$E$14 = "Semi-annual",(E59/OFFSET(E59,0,-2,,))-1,(E59/OFFSET(E59,0,-4,,))-1),"")</f>
        <v/>
      </c>
      <c r="F60" s="2" t="str">
        <f ca="1">IFERROR(IF(Inputs!$E$14 = "Semi-annual",(F59/OFFSET(F59,0,-2,,))-1,(F59/OFFSET(F59,0,-4,,))-1),"")</f>
        <v/>
      </c>
      <c r="G60" s="2" t="str">
        <f ca="1">IFERROR(IF(Inputs!$E$14 = "Semi-annual",(G59/OFFSET(G59,0,-2,,))-1,(G59/OFFSET(G59,0,-4,,))-1),"")</f>
        <v/>
      </c>
      <c r="H60" s="2" t="str">
        <f ca="1">IFERROR(IF(Inputs!$E$14 = "Semi-annual",(H59/OFFSET(H59,0,-2,,))-1,(H59/OFFSET(H59,0,-4,,))-1),"")</f>
        <v/>
      </c>
      <c r="I60" s="2" t="str">
        <f ca="1">IFERROR(IF(Inputs!$E$14 = "Semi-annual",(I59/OFFSET(I59,0,-2,,))-1,(I59/OFFSET(I59,0,-4,,))-1),"")</f>
        <v/>
      </c>
      <c r="J60" s="2" t="str">
        <f ca="1">IFERROR(IF(Inputs!$E$14 = "Semi-annual",(J59/OFFSET(J59,0,-2,,))-1,(J59/OFFSET(J59,0,-4,,))-1),"")</f>
        <v/>
      </c>
      <c r="K60" s="2" t="str">
        <f ca="1">IFERROR(IF(Inputs!$E$14 = "Semi-annual",(K59/OFFSET(K59,0,-2,,))-1,(K59/OFFSET(K59,0,-4,,))-1),"")</f>
        <v/>
      </c>
      <c r="L60" s="2" t="str">
        <f ca="1">IFERROR(IF(Inputs!$E$14 = "Semi-annual",(L59/OFFSET(L59,0,-2,,))-1,(L59/OFFSET(L59,0,-4,,))-1),"")</f>
        <v/>
      </c>
      <c r="M60" s="2" t="str">
        <f ca="1">IFERROR(IF(Inputs!$E$14 = "Semi-annual",(M59/OFFSET(M59,0,-2,,))-1,(M59/OFFSET(M59,0,-4,,))-1),"")</f>
        <v/>
      </c>
      <c r="N60" s="2" t="str">
        <f ca="1">IFERROR(IF(Inputs!$E$14 = "Semi-annual",(N59/OFFSET(N59,0,-2,,))-1,(N59/OFFSET(N59,0,-4,,))-1),"")</f>
        <v/>
      </c>
      <c r="O60" s="2" t="str">
        <f ca="1">IFERROR(IF(Inputs!$E$14 = "Semi-annual",(O59/OFFSET(O59,0,-2,,))-1,(O59/OFFSET(O59,0,-4,,))-1),"")</f>
        <v/>
      </c>
      <c r="P60" s="2" t="str">
        <f ca="1">IFERROR(IF(Inputs!$E$14 = "Semi-annual",(P59/OFFSET(P59,0,-2,,))-1,(P59/OFFSET(P59,0,-4,,))-1),"")</f>
        <v/>
      </c>
      <c r="Q60" s="2" t="str">
        <f ca="1">IFERROR(IF(Inputs!$E$14 = "Semi-annual",(Q59/OFFSET(Q59,0,-2,,))-1,(Q59/OFFSET(Q59,0,-4,,))-1),"")</f>
        <v/>
      </c>
      <c r="R60" s="2" t="str">
        <f ca="1">IFERROR(IF(Inputs!$E$14 = "Semi-annual",(R59/OFFSET(R59,0,-2,,))-1,(R59/OFFSET(R59,0,-4,,))-1),"")</f>
        <v/>
      </c>
      <c r="S60" s="2" t="str">
        <f ca="1">IFERROR(IF(Inputs!$E$14 = "Semi-annual",(S59/OFFSET(S59,0,-2,,))-1,(S59/OFFSET(S59,0,-4,,))-1),"")</f>
        <v/>
      </c>
      <c r="T60" s="2" t="str">
        <f ca="1">IFERROR(IF(Inputs!$E$14 = "Semi-annual",(T59/OFFSET(T59,0,-2,,))-1,(T59/OFFSET(T59,0,-4,,))-1),"")</f>
        <v/>
      </c>
      <c r="U60" s="2" t="str">
        <f ca="1">IFERROR(IF(Inputs!$E$14 = "Semi-annual",(U59/OFFSET(U59,0,-2,,))-1,(U59/OFFSET(U59,0,-4,,))-1),"")</f>
        <v/>
      </c>
      <c r="V60" s="2" t="str">
        <f ca="1">IFERROR(IF(Inputs!$E$14 = "Semi-annual",(V59/OFFSET(V59,0,-2,,))-1,(V59/OFFSET(V59,0,-4,,))-1),"")</f>
        <v/>
      </c>
      <c r="W60" s="2" t="str">
        <f ca="1">IFERROR(IF(Inputs!$E$14 = "Semi-annual",(W59/OFFSET(W59,0,-2,,))-1,(W59/OFFSET(W59,0,-4,,))-1),"")</f>
        <v/>
      </c>
      <c r="X60" s="2" t="str">
        <f ca="1">IFERROR(IF(Inputs!$E$14 = "Semi-annual",(X59/OFFSET(X59,0,-2,,))-1,(X59/OFFSET(X59,0,-4,,))-1),"")</f>
        <v/>
      </c>
      <c r="Y60" s="2" t="str">
        <f ca="1">IFERROR(IF(Inputs!$E$14 = "Semi-annual",(Y59/OFFSET(Y59,0,-2,,))-1,(Y59/OFFSET(Y59,0,-4,,))-1),"")</f>
        <v/>
      </c>
      <c r="Z60" s="2" t="str">
        <f ca="1">IFERROR(IF(Inputs!$E$14 = "Semi-annual",(Z59/OFFSET(Z59,0,-2,,))-1,(Z59/OFFSET(Z59,0,-4,,))-1),"")</f>
        <v/>
      </c>
      <c r="AA60" s="2" t="str">
        <f ca="1">IFERROR(IF(Inputs!$E$14 = "Semi-annual",(AA59/OFFSET(AA59,0,-2,,))-1,(AA59/OFFSET(AA59,0,-4,,))-1),"")</f>
        <v/>
      </c>
      <c r="AB60" s="2" t="str">
        <f ca="1">IFERROR(IF(Inputs!$E$14 = "Semi-annual",(AB59/OFFSET(AB59,0,-2,,))-1,(AB59/OFFSET(AB59,0,-4,,))-1),"")</f>
        <v/>
      </c>
      <c r="AC60" s="2" t="str">
        <f ca="1">IFERROR(IF(Inputs!$E$14 = "Semi-annual",(AC59/OFFSET(AC59,0,-2,,))-1,(AC59/OFFSET(AC59,0,-4,,))-1),"")</f>
        <v/>
      </c>
    </row>
    <row r="61" spans="1:29" x14ac:dyDescent="0.3">
      <c r="A61" s="85" t="s">
        <v>617</v>
      </c>
      <c r="B61" s="5">
        <f>IFERROR((B8+B9)*1000/B55, "N/A")</f>
        <v>237.14600735189569</v>
      </c>
      <c r="C61" s="2">
        <f t="shared" ref="C61:Q61" si="102">IFERROR((C8+C9)*1000/C55, "N/A")</f>
        <v>245.0252708864281</v>
      </c>
      <c r="D61" s="2">
        <f t="shared" si="102"/>
        <v>242.60751987430717</v>
      </c>
      <c r="E61" s="2">
        <f t="shared" si="102"/>
        <v>219.3934502000881</v>
      </c>
      <c r="F61" s="2">
        <f t="shared" si="102"/>
        <v>209.32591888942088</v>
      </c>
      <c r="G61" s="2">
        <f t="shared" si="102"/>
        <v>224.82543835499001</v>
      </c>
      <c r="H61" s="2">
        <f t="shared" si="102"/>
        <v>236.34814069381622</v>
      </c>
      <c r="I61" s="2">
        <f t="shared" si="102"/>
        <v>212.17091356286309</v>
      </c>
      <c r="J61" s="2">
        <f t="shared" si="102"/>
        <v>214.0340312090303</v>
      </c>
      <c r="K61" s="2">
        <f t="shared" si="102"/>
        <v>219.50293227083179</v>
      </c>
      <c r="L61" s="2">
        <f t="shared" si="102"/>
        <v>255.23372687695147</v>
      </c>
      <c r="M61" s="2">
        <f t="shared" si="102"/>
        <v>235.21946588820077</v>
      </c>
      <c r="N61" s="2">
        <f t="shared" si="102"/>
        <v>236.83630786400957</v>
      </c>
      <c r="O61" s="2">
        <f t="shared" si="102"/>
        <v>242.33802852063388</v>
      </c>
      <c r="P61" s="2">
        <f t="shared" si="102"/>
        <v>259.29055913364448</v>
      </c>
      <c r="Q61" s="2">
        <f t="shared" si="102"/>
        <v>241.26783366635715</v>
      </c>
      <c r="R61" s="2">
        <f>IFERROR((R8+R9)*1000/R55, "N/A")</f>
        <v>238.52902504568738</v>
      </c>
      <c r="S61" s="2">
        <f>IFERROR((S8+S9)*1000/S55, "N/A")</f>
        <v>252.61305535360893</v>
      </c>
      <c r="T61" s="2">
        <f t="shared" ref="T61:U61" si="103">IFERROR((T8+T9)*1000/T55, "N/A")</f>
        <v>267.38645940854303</v>
      </c>
      <c r="U61" s="2">
        <f t="shared" si="103"/>
        <v>246.10977958652717</v>
      </c>
      <c r="V61" s="2">
        <f t="shared" ref="V61:Y61" si="104">IFERROR((V8+V9)*1000/V55, "N/A")</f>
        <v>239.73265946018913</v>
      </c>
      <c r="W61" s="2">
        <f t="shared" si="104"/>
        <v>310.967246946572</v>
      </c>
      <c r="X61" s="2">
        <f t="shared" si="104"/>
        <v>218.16766016862681</v>
      </c>
      <c r="Y61" s="2">
        <f t="shared" si="104"/>
        <v>219.43374544530613</v>
      </c>
      <c r="Z61" s="2">
        <f t="shared" ref="Z61:AA61" si="105">IFERROR((Z8+Z9)*1000/Z55, "N/A")</f>
        <v>271.52674332198882</v>
      </c>
      <c r="AA61" s="2">
        <f t="shared" si="105"/>
        <v>293.00099042588317</v>
      </c>
      <c r="AB61" s="2">
        <f t="shared" ref="AB61:AC61" si="106">IFERROR((AB8+AB9)*1000/AB55, "N/A")</f>
        <v>257.47487652694718</v>
      </c>
      <c r="AC61" s="2" t="str">
        <f t="shared" si="106"/>
        <v>N/A</v>
      </c>
    </row>
    <row r="62" spans="1:29" x14ac:dyDescent="0.3">
      <c r="A62" s="85" t="s">
        <v>0</v>
      </c>
      <c r="B62" s="40"/>
      <c r="C62" s="2" t="str">
        <f ca="1">IFERROR(IF(Inputs!$E$14 = "Semi-annual",(C61/OFFSET(C61,0,-2,,))-1,(C61/OFFSET(C61,0,-4,,))-1),"")</f>
        <v/>
      </c>
      <c r="D62" s="2" t="str">
        <f ca="1">IFERROR(IF(Inputs!$E$14 = "Semi-annual",(D61/OFFSET(D61,0,-2,,))-1,(D61/OFFSET(D61,0,-4,,))-1),"")</f>
        <v/>
      </c>
      <c r="E62" s="2" t="str">
        <f ca="1">IFERROR(IF(Inputs!$E$14 = "Semi-annual",(E61/OFFSET(E61,0,-2,,))-1,(E61/OFFSET(E61,0,-4,,))-1),"")</f>
        <v/>
      </c>
      <c r="F62" s="2">
        <f ca="1">IFERROR(IF(Inputs!$E$14 = "Semi-annual",(F61/OFFSET(F61,0,-2,,))-1,(F61/OFFSET(F61,0,-4,,))-1),"")</f>
        <v>-0.1173120676714291</v>
      </c>
      <c r="G62" s="2">
        <f ca="1">IFERROR(IF(Inputs!$E$14 = "Semi-annual",(G61/OFFSET(G61,0,-2,,))-1,(G61/OFFSET(G61,0,-4,,))-1),"")</f>
        <v>-8.2439792672654333E-2</v>
      </c>
      <c r="H62" s="2">
        <f ca="1">IFERROR(IF(Inputs!$E$14 = "Semi-annual",(H61/OFFSET(H61,0,-2,,))-1,(H61/OFFSET(H61,0,-4,,))-1),"")</f>
        <v>-2.5800433489175822E-2</v>
      </c>
      <c r="I62" s="2">
        <f ca="1">IFERROR(IF(Inputs!$E$14 = "Semi-annual",(I61/OFFSET(I61,0,-2,,))-1,(I61/OFFSET(I61,0,-4,,))-1),"")</f>
        <v>-3.2920475203968125E-2</v>
      </c>
      <c r="J62" s="2">
        <f ca="1">IFERROR(IF(Inputs!$E$14 = "Semi-annual",(J61/OFFSET(J61,0,-2,,))-1,(J61/OFFSET(J61,0,-4,,))-1),"")</f>
        <v>2.2491779061992512E-2</v>
      </c>
      <c r="K62" s="2">
        <f ca="1">IFERROR(IF(Inputs!$E$14 = "Semi-annual",(K61/OFFSET(K61,0,-2,,))-1,(K61/OFFSET(K61,0,-4,,))-1),"")</f>
        <v>-2.3673949545487849E-2</v>
      </c>
      <c r="L62" s="2">
        <f ca="1">IFERROR(IF(Inputs!$E$14 = "Semi-annual",(L61/OFFSET(L61,0,-2,,))-1,(L61/OFFSET(L61,0,-4,,))-1),"")</f>
        <v>7.9905795440976535E-2</v>
      </c>
      <c r="M62" s="2">
        <f ca="1">IFERROR(IF(Inputs!$E$14 = "Semi-annual",(M61/OFFSET(M61,0,-2,,))-1,(M61/OFFSET(M61,0,-4,,))-1),"")</f>
        <v>0.10863200774458992</v>
      </c>
      <c r="N62" s="2">
        <f ca="1">IFERROR(IF(Inputs!$E$14 = "Semi-annual",(N61/OFFSET(N61,0,-2,,))-1,(N61/OFFSET(N61,0,-4,,))-1),"")</f>
        <v>0.10653575287151451</v>
      </c>
      <c r="O62" s="2">
        <f ca="1">IFERROR(IF(Inputs!$E$14 = "Semi-annual",(O61/OFFSET(O61,0,-2,,))-1,(O61/OFFSET(O61,0,-4,,))-1),"")</f>
        <v>0.10403093942101505</v>
      </c>
      <c r="P62" s="2">
        <f ca="1">IFERROR(IF(Inputs!$E$14 = "Semi-annual",(P61/OFFSET(P61,0,-2,,))-1,(P61/OFFSET(P61,0,-4,,))-1),"")</f>
        <v>1.5894577516586628E-2</v>
      </c>
      <c r="Q62" s="2">
        <f ca="1">IFERROR(IF(Inputs!$E$14 = "Semi-annual",(Q61/OFFSET(Q61,0,-2,,))-1,(Q61/OFFSET(Q61,0,-4,,))-1),"")</f>
        <v>2.5713721248866062E-2</v>
      </c>
      <c r="R62" s="2">
        <f ca="1">IFERROR(IF(Inputs!$E$14 = "Semi-annual",(R61/OFFSET(R61,0,-2,,))-1,(R61/OFFSET(R61,0,-4,,))-1),"")</f>
        <v>7.1472030489925231E-3</v>
      </c>
      <c r="S62" s="2">
        <f ca="1">IFERROR(IF(Inputs!$E$14 = "Semi-annual",(S61/OFFSET(S61,0,-2,,))-1,(S61/OFFSET(S61,0,-4,,))-1),"")</f>
        <v>4.2399564342829432E-2</v>
      </c>
      <c r="T62" s="2">
        <f ca="1">IFERROR(IF(Inputs!$E$14 = "Semi-annual",(T61/OFFSET(T61,0,-2,,))-1,(T61/OFFSET(T61,0,-4,,))-1),"")</f>
        <v>3.1223274391281475E-2</v>
      </c>
      <c r="U62" s="2">
        <f ca="1">IFERROR(IF(Inputs!$E$14 = "Semi-annual",(U61/OFFSET(U61,0,-2,,))-1,(U61/OFFSET(U61,0,-4,,))-1),"")</f>
        <v>2.0068758634712136E-2</v>
      </c>
      <c r="V62" s="2">
        <f ca="1">IFERROR(IF(Inputs!$E$14 = "Semi-annual",(V61/OFFSET(V61,0,-2,,))-1,(V61/OFFSET(V61,0,-4,,))-1),"")</f>
        <v>5.0460710778119644E-3</v>
      </c>
      <c r="W62" s="2">
        <f ca="1">IFERROR(IF(Inputs!$E$14 = "Semi-annual",(W61/OFFSET(W61,0,-2,,))-1,(W61/OFFSET(W61,0,-4,,))-1),"")</f>
        <v>0.23100227940032081</v>
      </c>
      <c r="X62" s="2">
        <f ca="1">IFERROR(IF(Inputs!$E$14 = "Semi-annual",(X61/OFFSET(X61,0,-2,,))-1,(X61/OFFSET(X61,0,-4,,))-1),"")</f>
        <v>-0.18407364138329163</v>
      </c>
      <c r="Y62" s="2">
        <f ca="1">IFERROR(IF(Inputs!$E$14 = "Semi-annual",(Y61/OFFSET(Y61,0,-2,,))-1,(Y61/OFFSET(Y61,0,-4,,))-1),"")</f>
        <v>-0.10839079286502828</v>
      </c>
      <c r="Z62" s="2">
        <f ca="1">IFERROR(IF(Inputs!$E$14 = "Semi-annual",(Z61/OFFSET(Z61,0,-2,,))-1,(Z61/OFFSET(Z61,0,-4,,))-1),"")</f>
        <v>0.13262308078253104</v>
      </c>
      <c r="AA62" s="2">
        <f ca="1">IFERROR(IF(Inputs!$E$14 = "Semi-annual",(AA61/OFFSET(AA61,0,-2,,))-1,(AA61/OFFSET(AA61,0,-4,,))-1),"")</f>
        <v>-5.7775398203836037E-2</v>
      </c>
      <c r="AB62" s="2">
        <f ca="1">IFERROR(IF(Inputs!$E$14 = "Semi-annual",(AB61/OFFSET(AB61,0,-2,,))-1,(AB61/OFFSET(AB61,0,-4,,))-1),"")</f>
        <v>0.18016976635280835</v>
      </c>
      <c r="AC62" s="2" t="str">
        <f ca="1">IFERROR(IF(Inputs!$E$14 = "Semi-annual",(AC61/OFFSET(AC61,0,-2,,))-1,(AC61/OFFSET(AC61,0,-4,,))-1),"")</f>
        <v/>
      </c>
    </row>
    <row r="63" spans="1:29" x14ac:dyDescent="0.3">
      <c r="A63" s="85" t="str">
        <f>IF(Inputs!$E$10 = "miles", "Total Yield Total Revenue/RPM [cents]", "Total Yield {Total Revenue/RPK} [cents]")</f>
        <v>Total Yield Total Revenue/RPM [cents]</v>
      </c>
      <c r="B63" s="5">
        <f t="shared" ref="B63:R63" si="107">IFERROR(B13*100/B50, "N/A")</f>
        <v>17.56507206795801</v>
      </c>
      <c r="C63" s="5">
        <f t="shared" si="107"/>
        <v>16.481772821195989</v>
      </c>
      <c r="D63" s="5">
        <f t="shared" si="107"/>
        <v>15.047670402667961</v>
      </c>
      <c r="E63" s="5">
        <f t="shared" si="107"/>
        <v>15.582683733592376</v>
      </c>
      <c r="F63" s="5">
        <f t="shared" si="107"/>
        <v>15.118365915189182</v>
      </c>
      <c r="G63" s="5">
        <f t="shared" si="107"/>
        <v>14.5664320825483</v>
      </c>
      <c r="H63" s="5">
        <f t="shared" si="107"/>
        <v>14.035142614719813</v>
      </c>
      <c r="I63" s="5">
        <f t="shared" si="107"/>
        <v>14.546870196281024</v>
      </c>
      <c r="J63" s="5">
        <f t="shared" si="107"/>
        <v>15.00102034123036</v>
      </c>
      <c r="K63" s="5">
        <f t="shared" si="107"/>
        <v>13.870158853403986</v>
      </c>
      <c r="L63" s="5">
        <f t="shared" si="107"/>
        <v>14.702726370900164</v>
      </c>
      <c r="M63" s="5">
        <f t="shared" si="107"/>
        <v>15.502275495421316</v>
      </c>
      <c r="N63" s="5">
        <f t="shared" si="107"/>
        <v>15.755875386032672</v>
      </c>
      <c r="O63" s="5">
        <f t="shared" si="107"/>
        <v>14.818111533753187</v>
      </c>
      <c r="P63" s="5">
        <f t="shared" si="107"/>
        <v>14.553956251333098</v>
      </c>
      <c r="Q63" s="5">
        <f t="shared" si="107"/>
        <v>15.454633683542276</v>
      </c>
      <c r="R63" s="5">
        <f t="shared" si="107"/>
        <v>15.727164699141948</v>
      </c>
      <c r="S63" s="5">
        <f t="shared" ref="S63:U63" si="108">IFERROR(S13*100/S50, "N/A")</f>
        <v>15.15581851091096</v>
      </c>
      <c r="T63" s="5">
        <f t="shared" si="108"/>
        <v>15.044998577696774</v>
      </c>
      <c r="U63" s="5">
        <f t="shared" si="108"/>
        <v>15.460765290873146</v>
      </c>
      <c r="V63" s="5">
        <f t="shared" ref="V63:Y63" si="109">IFERROR(V13*100/V50, "N/A")</f>
        <v>15.845682277644977</v>
      </c>
      <c r="W63" s="5">
        <f t="shared" si="109"/>
        <v>48.532693398735724</v>
      </c>
      <c r="X63" s="5">
        <f t="shared" si="109"/>
        <v>22.363450712350499</v>
      </c>
      <c r="Y63" s="5">
        <f t="shared" si="109"/>
        <v>25.527313422810835</v>
      </c>
      <c r="Z63" s="5">
        <f t="shared" ref="Z63:AA63" si="110">IFERROR(Z13*100/Z50, "N/A")</f>
        <v>30.762456342050669</v>
      </c>
      <c r="AA63" s="5">
        <f t="shared" si="110"/>
        <v>39.755369112215583</v>
      </c>
      <c r="AB63" s="5">
        <f t="shared" ref="AB63:AC63" si="111">IFERROR(AB13*100/AB50, "N/A")</f>
        <v>21.188041602311646</v>
      </c>
      <c r="AC63" s="5" t="str">
        <f t="shared" si="111"/>
        <v>N/A</v>
      </c>
    </row>
    <row r="64" spans="1:29" x14ac:dyDescent="0.3">
      <c r="A64" s="85" t="s">
        <v>0</v>
      </c>
      <c r="B64" s="40"/>
      <c r="C64" s="2" t="str">
        <f ca="1">IFERROR(IF(Inputs!$E$14 = "Semi-annual",(C63/OFFSET(C63,0,-2,,))-1,(C63/OFFSET(C63,0,-4,,))-1),"")</f>
        <v/>
      </c>
      <c r="D64" s="2" t="str">
        <f ca="1">IFERROR(IF(Inputs!$E$14 = "Semi-annual",(D63/OFFSET(D63,0,-2,,))-1,(D63/OFFSET(D63,0,-4,,))-1),"")</f>
        <v/>
      </c>
      <c r="E64" s="2" t="str">
        <f ca="1">IFERROR(IF(Inputs!$E$14 = "Semi-annual",(E63/OFFSET(E63,0,-2,,))-1,(E63/OFFSET(E63,0,-4,,))-1),"")</f>
        <v/>
      </c>
      <c r="F64" s="2">
        <f ca="1">IFERROR(IF(Inputs!$E$14 = "Semi-annual",(F63/OFFSET(F63,0,-2,,))-1,(F63/OFFSET(F63,0,-4,,))-1),"")</f>
        <v>-0.13929382944190016</v>
      </c>
      <c r="G64" s="2">
        <f ca="1">IFERROR(IF(Inputs!$E$14 = "Semi-annual",(G63/OFFSET(G63,0,-2,,))-1,(G63/OFFSET(G63,0,-4,,))-1),"")</f>
        <v>-0.11620963105282656</v>
      </c>
      <c r="H64" s="2">
        <f ca="1">IFERROR(IF(Inputs!$E$14 = "Semi-annual",(H63/OFFSET(H63,0,-2,,))-1,(H63/OFFSET(H63,0,-4,,))-1),"")</f>
        <v>-6.7288009429594231E-2</v>
      </c>
      <c r="I64" s="2">
        <f ca="1">IFERROR(IF(Inputs!$E$14 = "Semi-annual",(I63/OFFSET(I63,0,-2,,))-1,(I63/OFFSET(I63,0,-4,,))-1),"")</f>
        <v>-6.6472088827574494E-2</v>
      </c>
      <c r="J64" s="2">
        <f ca="1">IFERROR(IF(Inputs!$E$14 = "Semi-annual",(J63/OFFSET(J63,0,-2,,))-1,(J63/OFFSET(J63,0,-4,,))-1),"")</f>
        <v>-7.7617895093362588E-3</v>
      </c>
      <c r="K64" s="2">
        <f ca="1">IFERROR(IF(Inputs!$E$14 = "Semi-annual",(K63/OFFSET(K63,0,-2,,))-1,(K63/OFFSET(K63,0,-4,,))-1),"")</f>
        <v>-4.7799847292632647E-2</v>
      </c>
      <c r="L64" s="2">
        <f ca="1">IFERROR(IF(Inputs!$E$14 = "Semi-annual",(L63/OFFSET(L63,0,-2,,))-1,(L63/OFFSET(L63,0,-4,,))-1),"")</f>
        <v>4.7565156586310664E-2</v>
      </c>
      <c r="M64" s="2">
        <f ca="1">IFERROR(IF(Inputs!$E$14 = "Semi-annual",(M63/OFFSET(M63,0,-2,,))-1,(M63/OFFSET(M63,0,-4,,))-1),"")</f>
        <v>6.5677722166280539E-2</v>
      </c>
      <c r="N64" s="2">
        <f ca="1">IFERROR(IF(Inputs!$E$14 = "Semi-annual",(N63/OFFSET(N63,0,-2,,))-1,(N63/OFFSET(N63,0,-4,,))-1),"")</f>
        <v>5.0320246731989871E-2</v>
      </c>
      <c r="O64" s="2">
        <f ca="1">IFERROR(IF(Inputs!$E$14 = "Semi-annual",(O63/OFFSET(O63,0,-2,,))-1,(O63/OFFSET(O63,0,-4,,))-1),"")</f>
        <v>6.8344760169531726E-2</v>
      </c>
      <c r="P64" s="2">
        <f ca="1">IFERROR(IF(Inputs!$E$14 = "Semi-annual",(P63/OFFSET(P63,0,-2,,))-1,(P63/OFFSET(P63,0,-4,,))-1),"")</f>
        <v>-1.0118539637758217E-2</v>
      </c>
      <c r="Q64" s="2">
        <f ca="1">IFERROR(IF(Inputs!$E$14 = "Semi-annual",(Q63/OFFSET(Q63,0,-2,,))-1,(Q63/OFFSET(Q63,0,-4,,))-1),"")</f>
        <v>-3.0732141157671089E-3</v>
      </c>
      <c r="R64" s="2">
        <f ca="1">IFERROR(IF(Inputs!$E$14 = "Semi-annual",(R63/OFFSET(R63,0,-2,,))-1,(R63/OFFSET(R63,0,-4,,))-1),"")</f>
        <v>-1.8222209929494859E-3</v>
      </c>
      <c r="S64" s="2">
        <f ca="1">IFERROR(IF(Inputs!$E$14 = "Semi-annual",(S63/OFFSET(S63,0,-2,,))-1,(S63/OFFSET(S63,0,-4,,))-1),"")</f>
        <v>2.2790149499720913E-2</v>
      </c>
      <c r="T64" s="2">
        <f ca="1">IFERROR(IF(Inputs!$E$14 = "Semi-annual",(T63/OFFSET(T63,0,-2,,))-1,(T63/OFFSET(T63,0,-4,,))-1),"")</f>
        <v>3.3739439495614754E-2</v>
      </c>
      <c r="U64" s="2">
        <f ca="1">IFERROR(IF(Inputs!$E$14 = "Semi-annual",(U63/OFFSET(U63,0,-2,,))-1,(U63/OFFSET(U63,0,-4,,))-1),"")</f>
        <v>3.9674879757267689E-4</v>
      </c>
      <c r="V64" s="2">
        <f ca="1">IFERROR(IF(Inputs!$E$14 = "Semi-annual",(V63/OFFSET(V63,0,-2,,))-1,(V63/OFFSET(V63,0,-4,,))-1),"")</f>
        <v>7.5358515517736091E-3</v>
      </c>
      <c r="W64" s="2">
        <f ca="1">IFERROR(IF(Inputs!$E$14 = "Semi-annual",(W63/OFFSET(W63,0,-2,,))-1,(W63/OFFSET(W63,0,-4,,))-1),"")</f>
        <v>2.202248256258553</v>
      </c>
      <c r="X64" s="2">
        <f ca="1">IFERROR(IF(Inputs!$E$14 = "Semi-annual",(X63/OFFSET(X63,0,-2,,))-1,(X63/OFFSET(X63,0,-4,,))-1),"")</f>
        <v>0.48643754247360671</v>
      </c>
      <c r="Y64" s="2">
        <f ca="1">IFERROR(IF(Inputs!$E$14 = "Semi-annual",(Y63/OFFSET(Y63,0,-2,,))-1,(Y63/OFFSET(Y63,0,-4,,))-1),"")</f>
        <v>0.65110283627940513</v>
      </c>
      <c r="Z64" s="2">
        <f ca="1">IFERROR(IF(Inputs!$E$14 = "Semi-annual",(Z63/OFFSET(Z63,0,-2,,))-1,(Z63/OFFSET(Z63,0,-4,,))-1),"")</f>
        <v>0.94137783422871069</v>
      </c>
      <c r="AA64" s="2">
        <f ca="1">IFERROR(IF(Inputs!$E$14 = "Semi-annual",(AA63/OFFSET(AA63,0,-2,,))-1,(AA63/OFFSET(AA63,0,-4,,))-1),"")</f>
        <v>-0.18085384658970505</v>
      </c>
      <c r="AB64" s="2">
        <f ca="1">IFERROR(IF(Inputs!$E$14 = "Semi-annual",(AB63/OFFSET(AB63,0,-2,,))-1,(AB63/OFFSET(AB63,0,-4,,))-1),"")</f>
        <v>-5.2559380265484568E-2</v>
      </c>
      <c r="AC64" s="2" t="str">
        <f ca="1">IFERROR(IF(Inputs!$E$14 = "Semi-annual",(AC63/OFFSET(AC63,0,-2,,))-1,(AC63/OFFSET(AC63,0,-4,,))-1),"")</f>
        <v/>
      </c>
    </row>
    <row r="65" spans="1:29" x14ac:dyDescent="0.3">
      <c r="A65" s="85" t="str">
        <f>IF(Inputs!$E$10 = "miles", "Total Revenue per ASM ('RASM') [cents]","Total Revenue per ASK ('RASK') [cents]")</f>
        <v>Total Revenue per ASM ('RASM') [cents]</v>
      </c>
      <c r="B65" s="5">
        <f t="shared" ref="B65:R65" si="112">IFERROR(B13*100/B52, "N/A")</f>
        <v>14.309761738701324</v>
      </c>
      <c r="C65" s="5">
        <f t="shared" si="112"/>
        <v>13.790754181057343</v>
      </c>
      <c r="D65" s="5">
        <f t="shared" si="112"/>
        <v>13.082873668127972</v>
      </c>
      <c r="E65" s="5">
        <f t="shared" si="112"/>
        <v>12.636103863887696</v>
      </c>
      <c r="F65" s="5">
        <f t="shared" si="112"/>
        <v>12.266663858580362</v>
      </c>
      <c r="G65" s="5">
        <f t="shared" si="112"/>
        <v>12.007006180467892</v>
      </c>
      <c r="H65" s="5">
        <f t="shared" si="112"/>
        <v>11.998276390853313</v>
      </c>
      <c r="I65" s="5">
        <f t="shared" si="112"/>
        <v>11.617872928929705</v>
      </c>
      <c r="J65" s="5">
        <f t="shared" si="112"/>
        <v>12.017721415152705</v>
      </c>
      <c r="K65" s="5">
        <f t="shared" si="112"/>
        <v>11.447516838902024</v>
      </c>
      <c r="L65" s="5">
        <f t="shared" si="112"/>
        <v>12.534962076987734</v>
      </c>
      <c r="M65" s="5">
        <f t="shared" si="112"/>
        <v>12.429504175486414</v>
      </c>
      <c r="N65" s="5">
        <f t="shared" si="112"/>
        <v>12.953507074672505</v>
      </c>
      <c r="O65" s="5">
        <f t="shared" si="112"/>
        <v>12.310297359112718</v>
      </c>
      <c r="P65" s="5">
        <f t="shared" si="112"/>
        <v>12.501987648073049</v>
      </c>
      <c r="Q65" s="5">
        <f t="shared" si="112"/>
        <v>12.558474695341936</v>
      </c>
      <c r="R65" s="5">
        <f t="shared" si="112"/>
        <v>12.872021753491294</v>
      </c>
      <c r="S65" s="5">
        <f t="shared" ref="S65:U65" si="113">IFERROR(S13*100/S52, "N/A")</f>
        <v>12.74098780800802</v>
      </c>
      <c r="T65" s="5">
        <f t="shared" si="113"/>
        <v>12.957694495515161</v>
      </c>
      <c r="U65" s="5">
        <f t="shared" si="113"/>
        <v>12.519645852240094</v>
      </c>
      <c r="V65" s="5">
        <f t="shared" ref="V65:Y65" si="114">IFERROR(V13*100/V52, "N/A")</f>
        <v>11.79917313745611</v>
      </c>
      <c r="W65" s="5">
        <f t="shared" si="114"/>
        <v>16.942086014806094</v>
      </c>
      <c r="X65" s="5">
        <f t="shared" si="114"/>
        <v>9.4618936700262584</v>
      </c>
      <c r="Y65" s="5">
        <f t="shared" si="114"/>
        <v>10.347071040712658</v>
      </c>
      <c r="Z65" s="5">
        <f t="shared" ref="Z65:AA65" si="115">IFERROR(Z13*100/Z52, "N/A")</f>
        <v>13.375933878483679</v>
      </c>
      <c r="AA65" s="5">
        <f t="shared" si="115"/>
        <v>16.766826923076923</v>
      </c>
      <c r="AB65" s="5">
        <f t="shared" ref="AB65:AC65" si="116">IFERROR(AB13*100/AB52, "N/A")</f>
        <v>15.086663303553136</v>
      </c>
      <c r="AC65" s="5" t="str">
        <f t="shared" si="116"/>
        <v>N/A</v>
      </c>
    </row>
    <row r="66" spans="1:29" x14ac:dyDescent="0.3">
      <c r="A66" s="85" t="s">
        <v>0</v>
      </c>
      <c r="B66" s="40"/>
      <c r="C66" s="2" t="str">
        <f ca="1">IFERROR(IF(Inputs!$E$14 = "Semi-annual",(C65/OFFSET(C65,0,-2,,))-1,(C65/OFFSET(C65,0,-4,,))-1),"")</f>
        <v/>
      </c>
      <c r="D66" s="2" t="str">
        <f ca="1">IFERROR(IF(Inputs!$E$14 = "Semi-annual",(D65/OFFSET(D65,0,-2,,))-1,(D65/OFFSET(D65,0,-4,,))-1),"")</f>
        <v/>
      </c>
      <c r="E66" s="2" t="str">
        <f ca="1">IFERROR(IF(Inputs!$E$14 = "Semi-annual",(E65/OFFSET(E65,0,-2,,))-1,(E65/OFFSET(E65,0,-4,,))-1),"")</f>
        <v/>
      </c>
      <c r="F66" s="2">
        <f ca="1">IFERROR(IF(Inputs!$E$14 = "Semi-annual",(F65/OFFSET(F65,0,-2,,))-1,(F65/OFFSET(F65,0,-4,,))-1),"")</f>
        <v>-0.14277651280491432</v>
      </c>
      <c r="G66" s="2">
        <f ca="1">IFERROR(IF(Inputs!$E$14 = "Semi-annual",(G65/OFFSET(G65,0,-2,,))-1,(G65/OFFSET(G65,0,-4,,))-1),"")</f>
        <v>-0.12934376011426307</v>
      </c>
      <c r="H66" s="2">
        <f ca="1">IFERROR(IF(Inputs!$E$14 = "Semi-annual",(H65/OFFSET(H65,0,-2,,))-1,(H65/OFFSET(H65,0,-4,,))-1),"")</f>
        <v>-8.2902067602847573E-2</v>
      </c>
      <c r="I66" s="2">
        <f ca="1">IFERROR(IF(Inputs!$E$14 = "Semi-annual",(I65/OFFSET(I65,0,-2,,))-1,(I65/OFFSET(I65,0,-4,,))-1),"")</f>
        <v>-8.0581083055827007E-2</v>
      </c>
      <c r="J66" s="2">
        <f ca="1">IFERROR(IF(Inputs!$E$14 = "Semi-annual",(J65/OFFSET(J65,0,-2,,))-1,(J65/OFFSET(J65,0,-4,,))-1),"")</f>
        <v>-2.029422557735816E-2</v>
      </c>
      <c r="K66" s="2">
        <f ca="1">IFERROR(IF(Inputs!$E$14 = "Semi-annual",(K65/OFFSET(K65,0,-2,,))-1,(K65/OFFSET(K65,0,-4,,))-1),"")</f>
        <v>-4.659690626927504E-2</v>
      </c>
      <c r="L66" s="2">
        <f ca="1">IFERROR(IF(Inputs!$E$14 = "Semi-annual",(L65/OFFSET(L65,0,-2,,))-1,(L65/OFFSET(L65,0,-4,,))-1),"")</f>
        <v>4.4730231964280609E-2</v>
      </c>
      <c r="M66" s="2">
        <f ca="1">IFERROR(IF(Inputs!$E$14 = "Semi-annual",(M65/OFFSET(M65,0,-2,,))-1,(M65/OFFSET(M65,0,-4,,))-1),"")</f>
        <v>6.9860571855254516E-2</v>
      </c>
      <c r="N66" s="2">
        <f ca="1">IFERROR(IF(Inputs!$E$14 = "Semi-annual",(N65/OFFSET(N65,0,-2,,))-1,(N65/OFFSET(N65,0,-4,,))-1),"")</f>
        <v>7.7867145292609408E-2</v>
      </c>
      <c r="O66" s="2">
        <f ca="1">IFERROR(IF(Inputs!$E$14 = "Semi-annual",(O65/OFFSET(O65,0,-2,,))-1,(O65/OFFSET(O65,0,-4,,))-1),"")</f>
        <v>7.5368355631390216E-2</v>
      </c>
      <c r="P66" s="2">
        <f ca="1">IFERROR(IF(Inputs!$E$14 = "Semi-annual",(P65/OFFSET(P65,0,-2,,))-1,(P65/OFFSET(P65,0,-4,,))-1),"")</f>
        <v>-2.6305966234410061E-3</v>
      </c>
      <c r="Q66" s="2">
        <f ca="1">IFERROR(IF(Inputs!$E$14 = "Semi-annual",(Q65/OFFSET(Q65,0,-2,,))-1,(Q65/OFFSET(Q65,0,-4,,))-1),"")</f>
        <v>1.0376159662899287E-2</v>
      </c>
      <c r="R66" s="2">
        <f ca="1">IFERROR(IF(Inputs!$E$14 = "Semi-annual",(R65/OFFSET(R65,0,-2,,))-1,(R65/OFFSET(R65,0,-4,,))-1),"")</f>
        <v>-6.2905991953743357E-3</v>
      </c>
      <c r="S66" s="2">
        <f ca="1">IFERROR(IF(Inputs!$E$14 = "Semi-annual",(S65/OFFSET(S65,0,-2,,))-1,(S65/OFFSET(S65,0,-4,,))-1),"")</f>
        <v>3.4986193779996899E-2</v>
      </c>
      <c r="T66" s="2">
        <f ca="1">IFERROR(IF(Inputs!$E$14 = "Semi-annual",(T65/OFFSET(T65,0,-2,,))-1,(T65/OFFSET(T65,0,-4,,))-1),"")</f>
        <v>3.6450751694059758E-2</v>
      </c>
      <c r="U66" s="2">
        <f ca="1">IFERROR(IF(Inputs!$E$14 = "Semi-annual",(U65/OFFSET(U65,0,-2,,))-1,(U65/OFFSET(U65,0,-4,,))-1),"")</f>
        <v>-3.0918438778431145E-3</v>
      </c>
      <c r="V66" s="2">
        <f ca="1">IFERROR(IF(Inputs!$E$14 = "Semi-annual",(V65/OFFSET(V65,0,-2,,))-1,(V65/OFFSET(V65,0,-4,,))-1),"")</f>
        <v>-8.3347327761017387E-2</v>
      </c>
      <c r="W66" s="2">
        <f ca="1">IFERROR(IF(Inputs!$E$14 = "Semi-annual",(W65/OFFSET(W65,0,-2,,))-1,(W65/OFFSET(W65,0,-4,,))-1),"")</f>
        <v>0.32973096514208899</v>
      </c>
      <c r="X66" s="2">
        <f ca="1">IFERROR(IF(Inputs!$E$14 = "Semi-annual",(X65/OFFSET(X65,0,-2,,))-1,(X65/OFFSET(X65,0,-4,,))-1),"")</f>
        <v>-0.26978571123889739</v>
      </c>
      <c r="Y66" s="2">
        <f ca="1">IFERROR(IF(Inputs!$E$14 = "Semi-annual",(Y65/OFFSET(Y65,0,-2,,))-1,(Y65/OFFSET(Y65,0,-4,,))-1),"")</f>
        <v>-0.17353324823790484</v>
      </c>
      <c r="Z66" s="2">
        <f ca="1">IFERROR(IF(Inputs!$E$14 = "Semi-annual",(Z65/OFFSET(Z65,0,-2,,))-1,(Z65/OFFSET(Z65,0,-4,,))-1),"")</f>
        <v>0.13363315570157974</v>
      </c>
      <c r="AA66" s="2">
        <f ca="1">IFERROR(IF(Inputs!$E$14 = "Semi-annual",(AA65/OFFSET(AA65,0,-2,,))-1,(AA65/OFFSET(AA65,0,-4,,))-1),"")</f>
        <v>-1.034459933540699E-2</v>
      </c>
      <c r="AB66" s="2">
        <f ca="1">IFERROR(IF(Inputs!$E$14 = "Semi-annual",(AB65/OFFSET(AB65,0,-2,,))-1,(AB65/OFFSET(AB65,0,-4,,))-1),"")</f>
        <v>0.59446552980670608</v>
      </c>
      <c r="AC66" s="2" t="str">
        <f ca="1">IFERROR(IF(Inputs!$E$14 = "Semi-annual",(AC65/OFFSET(AC65,0,-2,,))-1,(AC65/OFFSET(AC65,0,-4,,))-1),"")</f>
        <v/>
      </c>
    </row>
    <row r="67" spans="1:29" x14ac:dyDescent="0.3">
      <c r="A67" s="85" t="str">
        <f>IF(Inputs!$E$10 = "miles","Passenger Yield per RPM (Pass Revenue/RPM) [cents]","Passenger Yield per RPK (Pass Revenue/RPK) [cents]")</f>
        <v>Passenger Yield per RPM (Pass Revenue/RPM) [cents]</v>
      </c>
      <c r="B67" s="5">
        <f>IFERROR(B8*100/'Annual Operational Data'!B31,"N/A")</f>
        <v>4.3369718973444513</v>
      </c>
      <c r="C67" s="5">
        <f>IFERROR(C8*100/'Annual Operational Data'!C31,"N/A")</f>
        <v>4.6223253894053684</v>
      </c>
      <c r="D67" s="5">
        <f>IFERROR(D8*100/'Annual Operational Data'!D31,"N/A")</f>
        <v>5.1110375507430952</v>
      </c>
      <c r="E67" s="5">
        <f>IFERROR(E8*100/'Annual Operational Data'!E31,"N/A")</f>
        <v>3.741869237446168</v>
      </c>
      <c r="F67" s="5">
        <f>IFERROR(F8*100/'Annual Operational Data'!F31,"N/A")</f>
        <v>3.3826573850655084</v>
      </c>
      <c r="G67" s="5">
        <f>IFERROR(G8*100/'Annual Operational Data'!G31,"N/A")</f>
        <v>3.6101217031582231</v>
      </c>
      <c r="H67" s="5">
        <f>IFERROR(H8*100/'Annual Operational Data'!H31,"N/A")</f>
        <v>4.1184237536466428</v>
      </c>
      <c r="I67" s="5">
        <f>IFERROR(I8*100/'Annual Operational Data'!M31,"N/A")</f>
        <v>16.402885124272121</v>
      </c>
      <c r="J67" s="5" t="str">
        <f>IFERROR(J8*100/'Annual Operational Data'!N31,"N/A")</f>
        <v>N/A</v>
      </c>
      <c r="K67" s="5" t="str">
        <f>IFERROR(K8*100/'Annual Operational Data'!O31,"N/A")</f>
        <v>N/A</v>
      </c>
      <c r="L67" s="5" t="str">
        <f>IFERROR(L8*100/'Annual Operational Data'!P31,"N/A")</f>
        <v>N/A</v>
      </c>
      <c r="M67" s="5" t="str">
        <f>IFERROR(M8*100/'Annual Operational Data'!Q31,"N/A")</f>
        <v>N/A</v>
      </c>
      <c r="N67" s="5" t="str">
        <f>IFERROR(N8*100/'Annual Operational Data'!R31,"N/A")</f>
        <v>N/A</v>
      </c>
      <c r="O67" s="5" t="str">
        <f>IFERROR(O8*100/'Annual Operational Data'!S31,"N/A")</f>
        <v>N/A</v>
      </c>
      <c r="P67" s="5" t="str">
        <f>IFERROR(P8*100/'Annual Operational Data'!T31,"N/A")</f>
        <v>N/A</v>
      </c>
      <c r="Q67" s="5" t="str">
        <f>IFERROR(Q8*100/'Annual Operational Data'!U31,"N/A")</f>
        <v>N/A</v>
      </c>
      <c r="R67" s="5" t="str">
        <f>IFERROR(R8*100/'Annual Operational Data'!V31,"N/A")</f>
        <v>N/A</v>
      </c>
      <c r="S67" s="5" t="str">
        <f>IFERROR(S8*100/'Annual Operational Data'!W31,"N/A")</f>
        <v>N/A</v>
      </c>
      <c r="T67" s="5" t="str">
        <f>IFERROR(T8*100/'Annual Operational Data'!X31,"N/A")</f>
        <v>N/A</v>
      </c>
      <c r="U67" s="5" t="str">
        <f>IFERROR(U8*100/'Annual Operational Data'!Y31,"N/A")</f>
        <v>N/A</v>
      </c>
      <c r="V67" s="5" t="str">
        <f>IFERROR(V8*100/'Annual Operational Data'!Z31,"N/A")</f>
        <v>N/A</v>
      </c>
      <c r="W67" s="5" t="str">
        <f>IFERROR(W8*100/'Annual Operational Data'!AA31,"N/A")</f>
        <v>N/A</v>
      </c>
      <c r="X67" s="5" t="str">
        <f>IFERROR(X8*100/'Annual Operational Data'!AB31,"N/A")</f>
        <v>N/A</v>
      </c>
      <c r="Y67" s="5" t="str">
        <f>IFERROR(Y8*100/'Annual Operational Data'!AC31,"N/A")</f>
        <v>N/A</v>
      </c>
      <c r="Z67" s="5" t="str">
        <f>IFERROR(Z8*100/'Annual Operational Data'!AD31,"N/A")</f>
        <v>N/A</v>
      </c>
      <c r="AA67" s="5" t="str">
        <f>IFERROR(AA8*100/'Annual Operational Data'!AE31,"N/A")</f>
        <v>N/A</v>
      </c>
      <c r="AB67" s="5" t="str">
        <f>IFERROR(AB8*100/'Annual Operational Data'!AF31,"N/A")</f>
        <v>N/A</v>
      </c>
      <c r="AC67" s="5" t="str">
        <f>IFERROR(AC8*100/'Annual Operational Data'!AG31,"N/A")</f>
        <v>N/A</v>
      </c>
    </row>
    <row r="68" spans="1:29" x14ac:dyDescent="0.3">
      <c r="A68" s="85" t="s">
        <v>0</v>
      </c>
      <c r="B68" s="40"/>
      <c r="C68" s="2" t="str">
        <f ca="1">IFERROR(IF(Inputs!$E$14 = "Semi-annual",(C67/OFFSET(C67,0,-2,,))-1,(C67/OFFSET(C67,0,-4,,))-1),"")</f>
        <v/>
      </c>
      <c r="D68" s="2" t="str">
        <f ca="1">IFERROR(IF(Inputs!$E$14 = "Semi-annual",(D67/OFFSET(D67,0,-2,,))-1,(D67/OFFSET(D67,0,-4,,))-1),"")</f>
        <v/>
      </c>
      <c r="E68" s="2" t="str">
        <f ca="1">IFERROR(IF(Inputs!$E$14 = "Semi-annual",(E67/OFFSET(E67,0,-2,,))-1,(E67/OFFSET(E67,0,-4,,))-1),"")</f>
        <v/>
      </c>
      <c r="F68" s="2">
        <f ca="1">IFERROR(IF(Inputs!$E$14 = "Semi-annual",(F67/OFFSET(F67,0,-2,,))-1,(F67/OFFSET(F67,0,-4,,))-1),"")</f>
        <v>-0.22004166383076507</v>
      </c>
      <c r="G68" s="2">
        <f ca="1">IFERROR(IF(Inputs!$E$14 = "Semi-annual",(G67/OFFSET(G67,0,-2,,))-1,(G67/OFFSET(G67,0,-4,,))-1),"")</f>
        <v>-0.21898148680038265</v>
      </c>
      <c r="H68" s="2">
        <f ca="1">IFERROR(IF(Inputs!$E$14 = "Semi-annual",(H67/OFFSET(H67,0,-2,,))-1,(H67/OFFSET(H67,0,-4,,))-1),"")</f>
        <v>-0.19420984237381234</v>
      </c>
      <c r="I68" s="2">
        <f ca="1">IFERROR(IF(Inputs!$E$14 = "Semi-annual",(I67/OFFSET(I67,0,-2,,))-1,(I67/OFFSET(I67,0,-4,,))-1),"")</f>
        <v>3.3836072517240385</v>
      </c>
      <c r="J68" s="2" t="str">
        <f ca="1">IFERROR(IF(Inputs!$E$14 = "Semi-annual",(J67/OFFSET(J67,0,-2,,))-1,(J67/OFFSET(J67,0,-4,,))-1),"")</f>
        <v/>
      </c>
      <c r="K68" s="2" t="str">
        <f ca="1">IFERROR(IF(Inputs!$E$14 = "Semi-annual",(K67/OFFSET(K67,0,-2,,))-1,(K67/OFFSET(K67,0,-4,,))-1),"")</f>
        <v/>
      </c>
      <c r="L68" s="2" t="str">
        <f ca="1">IFERROR(IF(Inputs!$E$14 = "Semi-annual",(L67/OFFSET(L67,0,-2,,))-1,(L67/OFFSET(L67,0,-4,,))-1),"")</f>
        <v/>
      </c>
      <c r="M68" s="2" t="str">
        <f ca="1">IFERROR(IF(Inputs!$E$14 = "Semi-annual",(M67/OFFSET(M67,0,-2,,))-1,(M67/OFFSET(M67,0,-4,,))-1),"")</f>
        <v/>
      </c>
      <c r="N68" s="2" t="str">
        <f ca="1">IFERROR(IF(Inputs!$E$14 = "Semi-annual",(N67/OFFSET(N67,0,-2,,))-1,(N67/OFFSET(N67,0,-4,,))-1),"")</f>
        <v/>
      </c>
      <c r="O68" s="2" t="str">
        <f ca="1">IFERROR(IF(Inputs!$E$14 = "Semi-annual",(O67/OFFSET(O67,0,-2,,))-1,(O67/OFFSET(O67,0,-4,,))-1),"")</f>
        <v/>
      </c>
      <c r="P68" s="2" t="str">
        <f ca="1">IFERROR(IF(Inputs!$E$14 = "Semi-annual",(P67/OFFSET(P67,0,-2,,))-1,(P67/OFFSET(P67,0,-4,,))-1),"")</f>
        <v/>
      </c>
      <c r="Q68" s="2" t="str">
        <f ca="1">IFERROR(IF(Inputs!$E$14 = "Semi-annual",(Q67/OFFSET(Q67,0,-2,,))-1,(Q67/OFFSET(Q67,0,-4,,))-1),"")</f>
        <v/>
      </c>
      <c r="R68" s="2" t="str">
        <f ca="1">IFERROR(IF(Inputs!$E$14 = "Semi-annual",(R67/OFFSET(R67,0,-2,,))-1,(R67/OFFSET(R67,0,-4,,))-1),"")</f>
        <v/>
      </c>
      <c r="S68" s="2" t="str">
        <f ca="1">IFERROR(IF(Inputs!$E$14 = "Semi-annual",(S67/OFFSET(S67,0,-2,,))-1,(S67/OFFSET(S67,0,-4,,))-1),"")</f>
        <v/>
      </c>
      <c r="T68" s="2" t="str">
        <f ca="1">IFERROR(IF(Inputs!$E$14 = "Semi-annual",(T67/OFFSET(T67,0,-2,,))-1,(T67/OFFSET(T67,0,-4,,))-1),"")</f>
        <v/>
      </c>
      <c r="U68" s="2" t="str">
        <f ca="1">IFERROR(IF(Inputs!$E$14 = "Semi-annual",(U67/OFFSET(U67,0,-2,,))-1,(U67/OFFSET(U67,0,-4,,))-1),"")</f>
        <v/>
      </c>
      <c r="V68" s="2" t="str">
        <f ca="1">IFERROR(IF(Inputs!$E$14 = "Semi-annual",(V67/OFFSET(V67,0,-2,,))-1,(V67/OFFSET(V67,0,-4,,))-1),"")</f>
        <v/>
      </c>
      <c r="W68" s="2" t="str">
        <f ca="1">IFERROR(IF(Inputs!$E$14 = "Semi-annual",(W67/OFFSET(W67,0,-2,,))-1,(W67/OFFSET(W67,0,-4,,))-1),"")</f>
        <v/>
      </c>
      <c r="X68" s="2" t="str">
        <f ca="1">IFERROR(IF(Inputs!$E$14 = "Semi-annual",(X67/OFFSET(X67,0,-2,,))-1,(X67/OFFSET(X67,0,-4,,))-1),"")</f>
        <v/>
      </c>
      <c r="Y68" s="2" t="str">
        <f ca="1">IFERROR(IF(Inputs!$E$14 = "Semi-annual",(Y67/OFFSET(Y67,0,-2,,))-1,(Y67/OFFSET(Y67,0,-4,,))-1),"")</f>
        <v/>
      </c>
      <c r="Z68" s="2" t="str">
        <f ca="1">IFERROR(IF(Inputs!$E$14 = "Semi-annual",(Z67/OFFSET(Z67,0,-2,,))-1,(Z67/OFFSET(Z67,0,-4,,))-1),"")</f>
        <v/>
      </c>
      <c r="AA68" s="2" t="str">
        <f ca="1">IFERROR(IF(Inputs!$E$14 = "Semi-annual",(AA67/OFFSET(AA67,0,-2,,))-1,(AA67/OFFSET(AA67,0,-4,,))-1),"")</f>
        <v/>
      </c>
      <c r="AB68" s="2" t="str">
        <f ca="1">IFERROR(IF(Inputs!$E$14 = "Semi-annual",(AB67/OFFSET(AB67,0,-2,,))-1,(AB67/OFFSET(AB67,0,-4,,))-1),"")</f>
        <v/>
      </c>
      <c r="AC68" s="2" t="str">
        <f ca="1">IFERROR(IF(Inputs!$E$14 = "Semi-annual",(AC67/OFFSET(AC67,0,-2,,))-1,(AC67/OFFSET(AC67,0,-4,,))-1),"")</f>
        <v/>
      </c>
    </row>
    <row r="69" spans="1:29" x14ac:dyDescent="0.3">
      <c r="A69" s="85" t="str">
        <f>IF(Inputs!$E$10 = "miles","Passenger Revenue per ASM ('PRASM') [cents]", "Passenger Revenue per ASK ('PRASK') [cents]")</f>
        <v>Passenger Revenue per ASM ('PRASM') [cents]</v>
      </c>
      <c r="B69" s="5">
        <f t="shared" ref="B69:R69" si="117">IFERROR(B8*100/B52, "N/A")</f>
        <v>12.270543614657401</v>
      </c>
      <c r="C69" s="5">
        <f t="shared" si="117"/>
        <v>12.449649790866644</v>
      </c>
      <c r="D69" s="5">
        <f t="shared" si="117"/>
        <v>12.084503741179105</v>
      </c>
      <c r="E69" s="5">
        <f t="shared" si="117"/>
        <v>11.262096341290228</v>
      </c>
      <c r="F69" s="5">
        <f t="shared" si="117"/>
        <v>10.509041367326999</v>
      </c>
      <c r="G69" s="5">
        <f t="shared" si="117"/>
        <v>10.913250556741058</v>
      </c>
      <c r="H69" s="5">
        <f t="shared" si="117"/>
        <v>11.068281927846261</v>
      </c>
      <c r="I69" s="5">
        <f t="shared" si="117"/>
        <v>10.294961850890994</v>
      </c>
      <c r="J69" s="5">
        <f t="shared" si="117"/>
        <v>10.212753371745642</v>
      </c>
      <c r="K69" s="5">
        <f t="shared" si="117"/>
        <v>10.296909647677344</v>
      </c>
      <c r="L69" s="5">
        <f t="shared" si="117"/>
        <v>11.50236888949817</v>
      </c>
      <c r="M69" s="5">
        <f t="shared" si="117"/>
        <v>11.001087334376848</v>
      </c>
      <c r="N69" s="5">
        <f t="shared" si="117"/>
        <v>11.101642393400239</v>
      </c>
      <c r="O69" s="5">
        <f t="shared" si="117"/>
        <v>11.13978212441287</v>
      </c>
      <c r="P69" s="5">
        <f t="shared" si="117"/>
        <v>11.585406097512569</v>
      </c>
      <c r="Q69" s="5">
        <f t="shared" si="117"/>
        <v>11.224543445318568</v>
      </c>
      <c r="R69" s="5">
        <f t="shared" si="117"/>
        <v>11.030683811211043</v>
      </c>
      <c r="S69" s="5">
        <f t="shared" ref="S69:U69" si="118">IFERROR(S8*100/S52, "N/A")</f>
        <v>11.618752388299095</v>
      </c>
      <c r="T69" s="5">
        <f t="shared" si="118"/>
        <v>12.049979177893086</v>
      </c>
      <c r="U69" s="5">
        <f t="shared" si="118"/>
        <v>11.218382295253603</v>
      </c>
      <c r="V69" s="5">
        <f t="shared" ref="V69:Y69" si="119">IFERROR(V8*100/V52, "N/A")</f>
        <v>10.122181576544159</v>
      </c>
      <c r="W69" s="5">
        <f t="shared" si="119"/>
        <v>6.6546713568593203</v>
      </c>
      <c r="X69" s="5">
        <f t="shared" si="119"/>
        <v>6.3370939111008084</v>
      </c>
      <c r="Y69" s="5">
        <f t="shared" si="119"/>
        <v>5.942997272477041</v>
      </c>
      <c r="Z69" s="5">
        <f t="shared" ref="Z69:AA69" si="120">IFERROR(Z8*100/Z52, "N/A")</f>
        <v>7.2475910589863553</v>
      </c>
      <c r="AA69" s="5">
        <f t="shared" si="120"/>
        <v>8.5336538461538467</v>
      </c>
      <c r="AB69" s="5">
        <f t="shared" ref="AB69:AC69" si="121">IFERROR(AB8*100/AB52, "N/A")</f>
        <v>11.736462750648087</v>
      </c>
      <c r="AC69" s="5" t="str">
        <f t="shared" si="121"/>
        <v>N/A</v>
      </c>
    </row>
    <row r="70" spans="1:29" x14ac:dyDescent="0.3">
      <c r="A70" s="85" t="s">
        <v>0</v>
      </c>
      <c r="B70" s="40"/>
      <c r="C70" s="2" t="str">
        <f ca="1">IFERROR(IF(Inputs!$E$14 = "Semi-annual",(C69/OFFSET(C69,0,-2,,))-1,(C69/OFFSET(C69,0,-4,,))-1),"")</f>
        <v/>
      </c>
      <c r="D70" s="2" t="str">
        <f ca="1">IFERROR(IF(Inputs!$E$14 = "Semi-annual",(D69/OFFSET(D69,0,-2,,))-1,(D69/OFFSET(D69,0,-4,,))-1),"")</f>
        <v/>
      </c>
      <c r="E70" s="2" t="str">
        <f ca="1">IFERROR(IF(Inputs!$E$14 = "Semi-annual",(E69/OFFSET(E69,0,-2,,))-1,(E69/OFFSET(E69,0,-4,,))-1),"")</f>
        <v/>
      </c>
      <c r="F70" s="2">
        <f ca="1">IFERROR(IF(Inputs!$E$14 = "Semi-annual",(F69/OFFSET(F69,0,-2,,))-1,(F69/OFFSET(F69,0,-4,,))-1),"")</f>
        <v>-0.14355535521883911</v>
      </c>
      <c r="G70" s="2">
        <f ca="1">IFERROR(IF(Inputs!$E$14 = "Semi-annual",(G69/OFFSET(G69,0,-2,,))-1,(G69/OFFSET(G69,0,-4,,))-1),"")</f>
        <v>-0.12340903237717771</v>
      </c>
      <c r="H70" s="2">
        <f ca="1">IFERROR(IF(Inputs!$E$14 = "Semi-annual",(H69/OFFSET(H69,0,-2,,))-1,(H69/OFFSET(H69,0,-4,,))-1),"")</f>
        <v>-8.4092970228472952E-2</v>
      </c>
      <c r="I70" s="2">
        <f ca="1">IFERROR(IF(Inputs!$E$14 = "Semi-annual",(I69/OFFSET(I69,0,-2,,))-1,(I69/OFFSET(I69,0,-4,,))-1),"")</f>
        <v>-8.5875174664722831E-2</v>
      </c>
      <c r="J70" s="2">
        <f ca="1">IFERROR(IF(Inputs!$E$14 = "Semi-annual",(J69/OFFSET(J69,0,-2,,))-1,(J69/OFFSET(J69,0,-4,,))-1),"")</f>
        <v>-2.8193627299111013E-2</v>
      </c>
      <c r="K70" s="2">
        <f ca="1">IFERROR(IF(Inputs!$E$14 = "Semi-annual",(K69/OFFSET(K69,0,-2,,))-1,(K69/OFFSET(K69,0,-4,,))-1),"")</f>
        <v>-5.6476382161225414E-2</v>
      </c>
      <c r="L70" s="2">
        <f ca="1">IFERROR(IF(Inputs!$E$14 = "Semi-annual",(L69/OFFSET(L69,0,-2,,))-1,(L69/OFFSET(L69,0,-4,,))-1),"")</f>
        <v>3.9219001149564781E-2</v>
      </c>
      <c r="M70" s="2">
        <f ca="1">IFERROR(IF(Inputs!$E$14 = "Semi-annual",(M69/OFFSET(M69,0,-2,,))-1,(M69/OFFSET(M69,0,-4,,))-1),"")</f>
        <v>6.8589422060339356E-2</v>
      </c>
      <c r="N70" s="2">
        <f ca="1">IFERROR(IF(Inputs!$E$14 = "Semi-annual",(N69/OFFSET(N69,0,-2,,))-1,(N69/OFFSET(N69,0,-4,,))-1),"")</f>
        <v>8.703715729724526E-2</v>
      </c>
      <c r="O70" s="2">
        <f ca="1">IFERROR(IF(Inputs!$E$14 = "Semi-annual",(O69/OFFSET(O69,0,-2,,))-1,(O69/OFFSET(O69,0,-4,,))-1),"")</f>
        <v>8.1856839146456917E-2</v>
      </c>
      <c r="P70" s="2">
        <f ca="1">IFERROR(IF(Inputs!$E$14 = "Semi-annual",(P69/OFFSET(P69,0,-2,,))-1,(P69/OFFSET(P69,0,-4,,))-1),"")</f>
        <v>7.2191397104481858E-3</v>
      </c>
      <c r="Q70" s="2">
        <f ca="1">IFERROR(IF(Inputs!$E$14 = "Semi-annual",(Q69/OFFSET(Q69,0,-2,,))-1,(Q69/OFFSET(Q69,0,-4,,))-1),"")</f>
        <v>2.0312184073246309E-2</v>
      </c>
      <c r="R70" s="2">
        <f ca="1">IFERROR(IF(Inputs!$E$14 = "Semi-annual",(R69/OFFSET(R69,0,-2,,))-1,(R69/OFFSET(R69,0,-4,,))-1),"")</f>
        <v>-6.3917193217626345E-3</v>
      </c>
      <c r="S70" s="2">
        <f ca="1">IFERROR(IF(Inputs!$E$14 = "Semi-annual",(S69/OFFSET(S69,0,-2,,))-1,(S69/OFFSET(S69,0,-4,,))-1),"")</f>
        <v>4.2996376278900517E-2</v>
      </c>
      <c r="T70" s="2">
        <f ca="1">IFERROR(IF(Inputs!$E$14 = "Semi-annual",(T69/OFFSET(T69,0,-2,,))-1,(T69/OFFSET(T69,0,-4,,))-1),"")</f>
        <v>4.009985290720719E-2</v>
      </c>
      <c r="U70" s="2">
        <f ca="1">IFERROR(IF(Inputs!$E$14 = "Semi-annual",(U69/OFFSET(U69,0,-2,,))-1,(U69/OFFSET(U69,0,-4,,))-1),"")</f>
        <v>-5.4889983677108845E-4</v>
      </c>
      <c r="V70" s="2">
        <f ca="1">IFERROR(IF(Inputs!$E$14 = "Semi-annual",(V69/OFFSET(V69,0,-2,,))-1,(V69/OFFSET(V69,0,-4,,))-1),"")</f>
        <v>-8.2361370357069474E-2</v>
      </c>
      <c r="W70" s="2">
        <f ca="1">IFERROR(IF(Inputs!$E$14 = "Semi-annual",(W69/OFFSET(W69,0,-2,,))-1,(W69/OFFSET(W69,0,-4,,))-1),"")</f>
        <v>-0.42724733822875471</v>
      </c>
      <c r="X70" s="2">
        <f ca="1">IFERROR(IF(Inputs!$E$14 = "Semi-annual",(X69/OFFSET(X69,0,-2,,))-1,(X69/OFFSET(X69,0,-4,,))-1),"")</f>
        <v>-0.47409918162125519</v>
      </c>
      <c r="Y70" s="2">
        <f ca="1">IFERROR(IF(Inputs!$E$14 = "Semi-annual",(Y69/OFFSET(Y69,0,-2,,))-1,(Y69/OFFSET(Y69,0,-4,,))-1),"")</f>
        <v>-0.47024471835021442</v>
      </c>
      <c r="Z70" s="2">
        <f ca="1">IFERROR(IF(Inputs!$E$14 = "Semi-annual",(Z69/OFFSET(Z69,0,-2,,))-1,(Z69/OFFSET(Z69,0,-4,,))-1),"")</f>
        <v>-0.28398922661286874</v>
      </c>
      <c r="AA70" s="2">
        <f ca="1">IFERROR(IF(Inputs!$E$14 = "Semi-annual",(AA69/OFFSET(AA69,0,-2,,))-1,(AA69/OFFSET(AA69,0,-4,,))-1),"")</f>
        <v>0.2823554144950764</v>
      </c>
      <c r="AB70" s="2">
        <f ca="1">IFERROR(IF(Inputs!$E$14 = "Semi-annual",(AB69/OFFSET(AB69,0,-2,,))-1,(AB69/OFFSET(AB69,0,-4,,))-1),"")</f>
        <v>0.8520260099174326</v>
      </c>
      <c r="AC70" s="2" t="str">
        <f ca="1">IFERROR(IF(Inputs!$E$14 = "Semi-annual",(AC69/OFFSET(AC69,0,-2,,))-1,(AC69/OFFSET(AC69,0,-4,,))-1),"")</f>
        <v/>
      </c>
    </row>
    <row r="71" spans="1:29" x14ac:dyDescent="0.3">
      <c r="A71" s="85" t="str">
        <f>IF(Inputs!$E$10 = "miles","Cargo Yield per RFTM (Cargo Revenue/RFTM) [cents]", "Cargo Yield per RFTK (Cargo Revenue/RFTK) [cents]")</f>
        <v>Cargo Yield per RFTM (Cargo Revenue/RFTM) [cents]</v>
      </c>
      <c r="B71" s="5" t="str">
        <f>IFERROR(B10*100/'Annual Operational Data'!B37, "N/A")</f>
        <v>N/A</v>
      </c>
      <c r="C71" s="5" t="str">
        <f>IFERROR(C10*100/'Annual Operational Data'!C37, "N/A")</f>
        <v>N/A</v>
      </c>
      <c r="D71" s="5" t="str">
        <f>IFERROR(D10*100/'Annual Operational Data'!D37, "N/A")</f>
        <v>N/A</v>
      </c>
      <c r="E71" s="5" t="str">
        <f>IFERROR(E10*100/'Annual Operational Data'!E37, "N/A")</f>
        <v>N/A</v>
      </c>
      <c r="F71" s="5" t="str">
        <f>IFERROR(F10*100/'Annual Operational Data'!F37, "N/A")</f>
        <v>N/A</v>
      </c>
      <c r="G71" s="5" t="str">
        <f>IFERROR(G10*100/'Annual Operational Data'!G37, "N/A")</f>
        <v>N/A</v>
      </c>
      <c r="H71" s="5" t="str">
        <f>IFERROR(H10*100/'Annual Operational Data'!H37, "N/A")</f>
        <v>N/A</v>
      </c>
      <c r="I71" s="5" t="str">
        <f>IFERROR(I10*100/'Annual Operational Data'!M37, "N/A")</f>
        <v>N/A</v>
      </c>
      <c r="J71" s="5" t="str">
        <f>IFERROR(J10*100/'Annual Operational Data'!N37, "N/A")</f>
        <v>N/A</v>
      </c>
      <c r="K71" s="5" t="str">
        <f>IFERROR(K10*100/'Annual Operational Data'!O37, "N/A")</f>
        <v>N/A</v>
      </c>
      <c r="L71" s="5" t="str">
        <f>IFERROR(L10*100/'Annual Operational Data'!P37, "N/A")</f>
        <v>N/A</v>
      </c>
      <c r="M71" s="5" t="str">
        <f>IFERROR(M10*100/'Annual Operational Data'!Q37, "N/A")</f>
        <v>N/A</v>
      </c>
      <c r="N71" s="5" t="str">
        <f>IFERROR(N10*100/'Annual Operational Data'!R37, "N/A")</f>
        <v>N/A</v>
      </c>
      <c r="O71" s="5" t="str">
        <f>IFERROR(O10*100/'Annual Operational Data'!S37, "N/A")</f>
        <v>N/A</v>
      </c>
      <c r="P71" s="5" t="str">
        <f>IFERROR(P10*100/'Annual Operational Data'!T37, "N/A")</f>
        <v>N/A</v>
      </c>
      <c r="Q71" s="5" t="str">
        <f>IFERROR(Q10*100/'Annual Operational Data'!U37, "N/A")</f>
        <v>N/A</v>
      </c>
      <c r="R71" s="5" t="str">
        <f>IFERROR(R10*100/'Annual Operational Data'!V37, "N/A")</f>
        <v>N/A</v>
      </c>
      <c r="S71" s="5" t="str">
        <f>IFERROR(S10*100/'Annual Operational Data'!W37, "N/A")</f>
        <v>N/A</v>
      </c>
      <c r="T71" s="5" t="str">
        <f>IFERROR(T10*100/'Annual Operational Data'!X37, "N/A")</f>
        <v>N/A</v>
      </c>
      <c r="U71" s="5" t="str">
        <f>IFERROR(U10*100/'Annual Operational Data'!Y37, "N/A")</f>
        <v>N/A</v>
      </c>
      <c r="V71" s="5" t="str">
        <f>IFERROR(V10*100/'Annual Operational Data'!Z37, "N/A")</f>
        <v>N/A</v>
      </c>
      <c r="W71" s="5" t="str">
        <f>IFERROR(W10*100/'Annual Operational Data'!AA37, "N/A")</f>
        <v>N/A</v>
      </c>
      <c r="X71" s="5" t="str">
        <f>IFERROR(X10*100/'Annual Operational Data'!AB37, "N/A")</f>
        <v>N/A</v>
      </c>
      <c r="Y71" s="5" t="str">
        <f>IFERROR(Y10*100/'Annual Operational Data'!AC37, "N/A")</f>
        <v>N/A</v>
      </c>
      <c r="Z71" s="5" t="str">
        <f>IFERROR(Z10*100/'Annual Operational Data'!AD37, "N/A")</f>
        <v>N/A</v>
      </c>
      <c r="AA71" s="5" t="str">
        <f>IFERROR(AA10*100/'Annual Operational Data'!AE37, "N/A")</f>
        <v>N/A</v>
      </c>
      <c r="AB71" s="5" t="str">
        <f>IFERROR(AB10*100/'Annual Operational Data'!AF37, "N/A")</f>
        <v>N/A</v>
      </c>
      <c r="AC71" s="5" t="str">
        <f>IFERROR(AC10*100/'Annual Operational Data'!AG37, "N/A")</f>
        <v>N/A</v>
      </c>
    </row>
    <row r="72" spans="1:29" x14ac:dyDescent="0.3">
      <c r="A72" s="85" t="s">
        <v>0</v>
      </c>
      <c r="B72" s="40"/>
      <c r="C72" s="2" t="str">
        <f ca="1">IFERROR(IF(Inputs!$E$14 = "Semi-annual",(C71/OFFSET(C71,0,-2,,))-1,(C71/OFFSET(C71,0,-4,,))-1),"")</f>
        <v/>
      </c>
      <c r="D72" s="2" t="str">
        <f ca="1">IFERROR(IF(Inputs!$E$14 = "Semi-annual",(D71/OFFSET(D71,0,-2,,))-1,(D71/OFFSET(D71,0,-4,,))-1),"")</f>
        <v/>
      </c>
      <c r="E72" s="2" t="str">
        <f ca="1">IFERROR(IF(Inputs!$E$14 = "Semi-annual",(E71/OFFSET(E71,0,-2,,))-1,(E71/OFFSET(E71,0,-4,,))-1),"")</f>
        <v/>
      </c>
      <c r="F72" s="2" t="str">
        <f ca="1">IFERROR(IF(Inputs!$E$14 = "Semi-annual",(F71/OFFSET(F71,0,-2,,))-1,(F71/OFFSET(F71,0,-4,,))-1),"")</f>
        <v/>
      </c>
      <c r="G72" s="2" t="str">
        <f ca="1">IFERROR(IF(Inputs!$E$14 = "Semi-annual",(G71/OFFSET(G71,0,-2,,))-1,(G71/OFFSET(G71,0,-4,,))-1),"")</f>
        <v/>
      </c>
      <c r="H72" s="2" t="str">
        <f ca="1">IFERROR(IF(Inputs!$E$14 = "Semi-annual",(H71/OFFSET(H71,0,-2,,))-1,(H71/OFFSET(H71,0,-4,,))-1),"")</f>
        <v/>
      </c>
      <c r="I72" s="2" t="str">
        <f ca="1">IFERROR(IF(Inputs!$E$14 = "Semi-annual",(I71/OFFSET(I71,0,-2,,))-1,(I71/OFFSET(I71,0,-4,,))-1),"")</f>
        <v/>
      </c>
      <c r="J72" s="2" t="str">
        <f ca="1">IFERROR(IF(Inputs!$E$14 = "Semi-annual",(J71/OFFSET(J71,0,-2,,))-1,(J71/OFFSET(J71,0,-4,,))-1),"")</f>
        <v/>
      </c>
      <c r="K72" s="2" t="str">
        <f ca="1">IFERROR(IF(Inputs!$E$14 = "Semi-annual",(K71/OFFSET(K71,0,-2,,))-1,(K71/OFFSET(K71,0,-4,,))-1),"")</f>
        <v/>
      </c>
      <c r="L72" s="2" t="str">
        <f ca="1">IFERROR(IF(Inputs!$E$14 = "Semi-annual",(L71/OFFSET(L71,0,-2,,))-1,(L71/OFFSET(L71,0,-4,,))-1),"")</f>
        <v/>
      </c>
      <c r="M72" s="2" t="str">
        <f ca="1">IFERROR(IF(Inputs!$E$14 = "Semi-annual",(M71/OFFSET(M71,0,-2,,))-1,(M71/OFFSET(M71,0,-4,,))-1),"")</f>
        <v/>
      </c>
      <c r="N72" s="2" t="str">
        <f ca="1">IFERROR(IF(Inputs!$E$14 = "Semi-annual",(N71/OFFSET(N71,0,-2,,))-1,(N71/OFFSET(N71,0,-4,,))-1),"")</f>
        <v/>
      </c>
      <c r="O72" s="2" t="str">
        <f ca="1">IFERROR(IF(Inputs!$E$14 = "Semi-annual",(O71/OFFSET(O71,0,-2,,))-1,(O71/OFFSET(O71,0,-4,,))-1),"")</f>
        <v/>
      </c>
      <c r="P72" s="2" t="str">
        <f ca="1">IFERROR(IF(Inputs!$E$14 = "Semi-annual",(P71/OFFSET(P71,0,-2,,))-1,(P71/OFFSET(P71,0,-4,,))-1),"")</f>
        <v/>
      </c>
      <c r="Q72" s="2" t="str">
        <f ca="1">IFERROR(IF(Inputs!$E$14 = "Semi-annual",(Q71/OFFSET(Q71,0,-2,,))-1,(Q71/OFFSET(Q71,0,-4,,))-1),"")</f>
        <v/>
      </c>
      <c r="R72" s="2" t="str">
        <f ca="1">IFERROR(IF(Inputs!$E$14 = "Semi-annual",(R71/OFFSET(R71,0,-2,,))-1,(R71/OFFSET(R71,0,-4,,))-1),"")</f>
        <v/>
      </c>
      <c r="S72" s="2" t="str">
        <f ca="1">IFERROR(IF(Inputs!$E$14 = "Semi-annual",(S71/OFFSET(S71,0,-2,,))-1,(S71/OFFSET(S71,0,-4,,))-1),"")</f>
        <v/>
      </c>
      <c r="T72" s="2" t="str">
        <f ca="1">IFERROR(IF(Inputs!$E$14 = "Semi-annual",(T71/OFFSET(T71,0,-2,,))-1,(T71/OFFSET(T71,0,-4,,))-1),"")</f>
        <v/>
      </c>
      <c r="U72" s="2" t="str">
        <f ca="1">IFERROR(IF(Inputs!$E$14 = "Semi-annual",(U71/OFFSET(U71,0,-2,,))-1,(U71/OFFSET(U71,0,-4,,))-1),"")</f>
        <v/>
      </c>
      <c r="V72" s="2" t="str">
        <f ca="1">IFERROR(IF(Inputs!$E$14 = "Semi-annual",(V71/OFFSET(V71,0,-2,,))-1,(V71/OFFSET(V71,0,-4,,))-1),"")</f>
        <v/>
      </c>
      <c r="W72" s="2" t="str">
        <f ca="1">IFERROR(IF(Inputs!$E$14 = "Semi-annual",(W71/OFFSET(W71,0,-2,,))-1,(W71/OFFSET(W71,0,-4,,))-1),"")</f>
        <v/>
      </c>
      <c r="X72" s="2" t="str">
        <f ca="1">IFERROR(IF(Inputs!$E$14 = "Semi-annual",(X71/OFFSET(X71,0,-2,,))-1,(X71/OFFSET(X71,0,-4,,))-1),"")</f>
        <v/>
      </c>
      <c r="Y72" s="2" t="str">
        <f ca="1">IFERROR(IF(Inputs!$E$14 = "Semi-annual",(Y71/OFFSET(Y71,0,-2,,))-1,(Y71/OFFSET(Y71,0,-4,,))-1),"")</f>
        <v/>
      </c>
      <c r="Z72" s="2" t="str">
        <f ca="1">IFERROR(IF(Inputs!$E$14 = "Semi-annual",(Z71/OFFSET(Z71,0,-2,,))-1,(Z71/OFFSET(Z71,0,-4,,))-1),"")</f>
        <v/>
      </c>
      <c r="AA72" s="2" t="str">
        <f ca="1">IFERROR(IF(Inputs!$E$14 = "Semi-annual",(AA71/OFFSET(AA71,0,-2,,))-1,(AA71/OFFSET(AA71,0,-4,,))-1),"")</f>
        <v/>
      </c>
      <c r="AB72" s="2" t="str">
        <f ca="1">IFERROR(IF(Inputs!$E$14 = "Semi-annual",(AB71/OFFSET(AB71,0,-2,,))-1,(AB71/OFFSET(AB71,0,-4,,))-1),"")</f>
        <v/>
      </c>
      <c r="AC72" s="2" t="str">
        <f ca="1">IFERROR(IF(Inputs!$E$14 = "Semi-annual",(AC71/OFFSET(AC71,0,-2,,))-1,(AC71/OFFSET(AC71,0,-4,,))-1),"")</f>
        <v/>
      </c>
    </row>
    <row r="73" spans="1:29" x14ac:dyDescent="0.3">
      <c r="A73" s="8" t="s">
        <v>6</v>
      </c>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row>
    <row r="74" spans="1:29" x14ac:dyDescent="0.3">
      <c r="A74" s="85" t="s">
        <v>47</v>
      </c>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row>
    <row r="75" spans="1:29" x14ac:dyDescent="0.3">
      <c r="A75" s="85" t="s">
        <v>462</v>
      </c>
      <c r="B75" s="5">
        <f t="shared" ref="B75:R75" si="122">IFERROR(-B24*100/B52,"N/A")</f>
        <v>12.393865661035866</v>
      </c>
      <c r="C75" s="5">
        <f t="shared" si="122"/>
        <v>11.524610919319448</v>
      </c>
      <c r="D75" s="5">
        <f t="shared" si="122"/>
        <v>9.6064650299900656</v>
      </c>
      <c r="E75" s="5">
        <f t="shared" si="122"/>
        <v>10.861013220532007</v>
      </c>
      <c r="F75" s="5">
        <f t="shared" si="122"/>
        <v>10.622791465925859</v>
      </c>
      <c r="G75" s="5">
        <f t="shared" si="122"/>
        <v>9.9549122959518339</v>
      </c>
      <c r="H75" s="5">
        <f t="shared" si="122"/>
        <v>8.671861413025189</v>
      </c>
      <c r="I75" s="5">
        <f t="shared" si="122"/>
        <v>10.12196578683978</v>
      </c>
      <c r="J75" s="5">
        <f t="shared" si="122"/>
        <v>10.942000058387253</v>
      </c>
      <c r="K75" s="5">
        <f t="shared" si="122"/>
        <v>9.5356936941953698</v>
      </c>
      <c r="L75" s="5">
        <f t="shared" si="122"/>
        <v>8.944003678703135</v>
      </c>
      <c r="M75" s="5">
        <f t="shared" si="122"/>
        <v>10.789590535579306</v>
      </c>
      <c r="N75" s="5">
        <f t="shared" si="122"/>
        <v>11.75074960126887</v>
      </c>
      <c r="O75" s="5">
        <f t="shared" si="122"/>
        <v>10.528954999508823</v>
      </c>
      <c r="P75" s="5">
        <f t="shared" si="122"/>
        <v>9.6275694353581951</v>
      </c>
      <c r="Q75" s="5">
        <f t="shared" si="122"/>
        <v>11.014545399306023</v>
      </c>
      <c r="R75" s="5">
        <f t="shared" si="122"/>
        <v>11.186778393445158</v>
      </c>
      <c r="S75" s="5">
        <f t="shared" ref="S75:U75" si="123">IFERROR(-S24*100/S52,"N/A")</f>
        <v>10.287604408357961</v>
      </c>
      <c r="T75" s="5">
        <f t="shared" si="123"/>
        <v>9.5228437306316192</v>
      </c>
      <c r="U75" s="5">
        <f t="shared" si="123"/>
        <v>10.613610025376618</v>
      </c>
      <c r="V75" s="5">
        <f t="shared" ref="V75:Y75" si="124">IFERROR(-V24*100/V52,"N/A")</f>
        <v>11.574094875027475</v>
      </c>
      <c r="W75" s="5">
        <f t="shared" si="124"/>
        <v>40.796028752920186</v>
      </c>
      <c r="X75" s="5">
        <f t="shared" si="124"/>
        <v>14.024101318057411</v>
      </c>
      <c r="Y75" s="5">
        <f t="shared" si="124"/>
        <v>17.603783499737254</v>
      </c>
      <c r="Z75" s="5">
        <f t="shared" ref="Z75:AA75" si="125">IFERROR(-Z24*100/Z52,"N/A")</f>
        <v>24.678506264143412</v>
      </c>
      <c r="AA75" s="5">
        <f t="shared" si="125"/>
        <v>31.25</v>
      </c>
      <c r="AB75" s="5">
        <f t="shared" ref="AB75:AC75" si="126">IFERROR(-AB24*100/AB52,"N/A")</f>
        <v>14.914490255866367</v>
      </c>
      <c r="AC75" s="5" t="str">
        <f t="shared" si="126"/>
        <v>N/A</v>
      </c>
    </row>
    <row r="76" spans="1:29" x14ac:dyDescent="0.3">
      <c r="A76" s="85" t="s">
        <v>0</v>
      </c>
      <c r="B76" s="40"/>
      <c r="C76" s="2" t="str">
        <f ca="1">IFERROR(IF(Inputs!$E$14 = "Semi-annual",(C75/OFFSET(C75,0,-2,,))-1,(C75/OFFSET(C75,0,-4,,))-1),"")</f>
        <v/>
      </c>
      <c r="D76" s="2" t="str">
        <f ca="1">IFERROR(IF(Inputs!$E$14 = "Semi-annual",(D75/OFFSET(D75,0,-2,,))-1,(D75/OFFSET(D75,0,-4,,))-1),"")</f>
        <v/>
      </c>
      <c r="E76" s="2" t="str">
        <f ca="1">IFERROR(IF(Inputs!$E$14 = "Semi-annual",(E75/OFFSET(E75,0,-2,,))-1,(E75/OFFSET(E75,0,-4,,))-1),"")</f>
        <v/>
      </c>
      <c r="F76" s="2">
        <f ca="1">IFERROR(IF(Inputs!$E$14 = "Semi-annual",(F75/OFFSET(F75,0,-2,,))-1,(F75/OFFSET(F75,0,-4,,))-1),"")</f>
        <v>-0.14289925706375473</v>
      </c>
      <c r="G76" s="2">
        <f ca="1">IFERROR(IF(Inputs!$E$14 = "Semi-annual",(G75/OFFSET(G75,0,-2,,))-1,(G75/OFFSET(G75,0,-4,,))-1),"")</f>
        <v>-0.13620404492235194</v>
      </c>
      <c r="H76" s="2">
        <f ca="1">IFERROR(IF(Inputs!$E$14 = "Semi-annual",(H75/OFFSET(H75,0,-2,,))-1,(H75/OFFSET(H75,0,-4,,))-1),"")</f>
        <v>-9.7289025052105238E-2</v>
      </c>
      <c r="I76" s="2">
        <f ca="1">IFERROR(IF(Inputs!$E$14 = "Semi-annual",(I75/OFFSET(I75,0,-2,,))-1,(I75/OFFSET(I75,0,-4,,))-1),"")</f>
        <v>-6.804590130643684E-2</v>
      </c>
      <c r="J76" s="2">
        <f ca="1">IFERROR(IF(Inputs!$E$14 = "Semi-annual",(J75/OFFSET(J75,0,-2,,))-1,(J75/OFFSET(J75,0,-4,,))-1),"")</f>
        <v>3.0049407774340731E-2</v>
      </c>
      <c r="K76" s="2">
        <f ca="1">IFERROR(IF(Inputs!$E$14 = "Semi-annual",(K75/OFFSET(K75,0,-2,,))-1,(K75/OFFSET(K75,0,-4,,))-1),"")</f>
        <v>-4.2111732307972161E-2</v>
      </c>
      <c r="L76" s="2">
        <f ca="1">IFERROR(IF(Inputs!$E$14 = "Semi-annual",(L75/OFFSET(L75,0,-2,,))-1,(L75/OFFSET(L75,0,-4,,))-1),"")</f>
        <v>3.138222034650906E-2</v>
      </c>
      <c r="M76" s="2">
        <f ca="1">IFERROR(IF(Inputs!$E$14 = "Semi-annual",(M75/OFFSET(M75,0,-2,,))-1,(M75/OFFSET(M75,0,-4,,))-1),"")</f>
        <v>6.5958012781227371E-2</v>
      </c>
      <c r="N76" s="2">
        <f ca="1">IFERROR(IF(Inputs!$E$14 = "Semi-annual",(N75/OFFSET(N75,0,-2,,))-1,(N75/OFFSET(N75,0,-4,,))-1),"")</f>
        <v>7.3912405279297655E-2</v>
      </c>
      <c r="O76" s="2">
        <f ca="1">IFERROR(IF(Inputs!$E$14 = "Semi-annual",(O75/OFFSET(O75,0,-2,,))-1,(O75/OFFSET(O75,0,-4,,))-1),"")</f>
        <v>0.10416245919456046</v>
      </c>
      <c r="P76" s="2">
        <f ca="1">IFERROR(IF(Inputs!$E$14 = "Semi-annual",(P75/OFFSET(P75,0,-2,,))-1,(P75/OFFSET(P75,0,-4,,))-1),"")</f>
        <v>7.6427266938934979E-2</v>
      </c>
      <c r="Q76" s="2">
        <f ca="1">IFERROR(IF(Inputs!$E$14 = "Semi-annual",(Q75/OFFSET(Q75,0,-2,,))-1,(Q75/OFFSET(Q75,0,-4,,))-1),"")</f>
        <v>2.0849249374655709E-2</v>
      </c>
      <c r="R76" s="2">
        <f ca="1">IFERROR(IF(Inputs!$E$14 = "Semi-annual",(R75/OFFSET(R75,0,-2,,))-1,(R75/OFFSET(R75,0,-4,,))-1),"")</f>
        <v>-4.7994487752748394E-2</v>
      </c>
      <c r="S76" s="2">
        <f ca="1">IFERROR(IF(Inputs!$E$14 = "Semi-annual",(S75/OFFSET(S75,0,-2,,))-1,(S75/OFFSET(S75,0,-4,,))-1),"")</f>
        <v>-2.2922558901820822E-2</v>
      </c>
      <c r="T76" s="2">
        <f ca="1">IFERROR(IF(Inputs!$E$14 = "Semi-annual",(T75/OFFSET(T75,0,-2,,))-1,(T75/OFFSET(T75,0,-4,,))-1),"")</f>
        <v>-1.087768885280227E-2</v>
      </c>
      <c r="U76" s="2">
        <f ca="1">IFERROR(IF(Inputs!$E$14 = "Semi-annual",(U75/OFFSET(U75,0,-2,,))-1,(U75/OFFSET(U75,0,-4,,))-1),"")</f>
        <v>-3.6400537597735649E-2</v>
      </c>
      <c r="V76" s="2">
        <f ca="1">IFERROR(IF(Inputs!$E$14 = "Semi-annual",(V75/OFFSET(V75,0,-2,,))-1,(V75/OFFSET(V75,0,-4,,))-1),"")</f>
        <v>3.4622700831301367E-2</v>
      </c>
      <c r="W76" s="2">
        <f ca="1">IFERROR(IF(Inputs!$E$14 = "Semi-annual",(W75/OFFSET(W75,0,-2,,))-1,(W75/OFFSET(W75,0,-4,,))-1),"")</f>
        <v>2.9655518557630636</v>
      </c>
      <c r="X76" s="2">
        <f ca="1">IFERROR(IF(Inputs!$E$14 = "Semi-annual",(X75/OFFSET(X75,0,-2,,))-1,(X75/OFFSET(X75,0,-4,,))-1),"")</f>
        <v>0.47267998034524483</v>
      </c>
      <c r="Y76" s="2">
        <f ca="1">IFERROR(IF(Inputs!$E$14 = "Semi-annual",(Y75/OFFSET(Y75,0,-2,,))-1,(Y75/OFFSET(Y75,0,-4,,))-1),"")</f>
        <v>0.65860470260801707</v>
      </c>
      <c r="Z76" s="2">
        <f ca="1">IFERROR(IF(Inputs!$E$14 = "Semi-annual",(Z75/OFFSET(Z75,0,-2,,))-1,(Z75/OFFSET(Z75,0,-4,,))-1),"")</f>
        <v>1.132219109192746</v>
      </c>
      <c r="AA76" s="2">
        <f ca="1">IFERROR(IF(Inputs!$E$14 = "Semi-annual",(AA75/OFFSET(AA75,0,-2,,))-1,(AA75/OFFSET(AA75,0,-4,,))-1),"")</f>
        <v>-0.23399406865642236</v>
      </c>
      <c r="AB76" s="2">
        <f ca="1">IFERROR(IF(Inputs!$E$14 = "Semi-annual",(AB75/OFFSET(AB75,0,-2,,))-1,(AB75/OFFSET(AB75,0,-4,,))-1),"")</f>
        <v>6.3489910520148074E-2</v>
      </c>
      <c r="AC76" s="2" t="str">
        <f ca="1">IFERROR(IF(Inputs!$E$14 = "Semi-annual",(AC75/OFFSET(AC75,0,-2,,))-1,(AC75/OFFSET(AC75,0,-4,,))-1),"")</f>
        <v/>
      </c>
    </row>
    <row r="77" spans="1:29" x14ac:dyDescent="0.3">
      <c r="A77" s="85" t="s">
        <v>463</v>
      </c>
      <c r="B77" s="5">
        <f t="shared" ref="B77:R77" si="127">IFERROR(-B16*100/B52, "N/A")</f>
        <v>2.6073804091447164</v>
      </c>
      <c r="C77" s="5">
        <f t="shared" si="127"/>
        <v>2.6175772435047326</v>
      </c>
      <c r="D77" s="5">
        <f t="shared" si="127"/>
        <v>2.2666574562975881</v>
      </c>
      <c r="E77" s="5">
        <f t="shared" si="127"/>
        <v>2.0927802439562591</v>
      </c>
      <c r="F77" s="5">
        <f t="shared" si="127"/>
        <v>1.6365336766158665</v>
      </c>
      <c r="G77" s="5">
        <f t="shared" si="127"/>
        <v>1.8298705196953668</v>
      </c>
      <c r="H77" s="5">
        <f t="shared" si="127"/>
        <v>1.9085103762579525</v>
      </c>
      <c r="I77" s="5">
        <f t="shared" si="127"/>
        <v>2.02846365299269</v>
      </c>
      <c r="J77" s="5">
        <f t="shared" si="127"/>
        <v>2.1745410248724966</v>
      </c>
      <c r="K77" s="5">
        <f t="shared" si="127"/>
        <v>2.052355320734097</v>
      </c>
      <c r="L77" s="5">
        <f t="shared" si="127"/>
        <v>2.4170900234519381</v>
      </c>
      <c r="M77" s="5">
        <f t="shared" si="127"/>
        <v>2.3915407248645324</v>
      </c>
      <c r="N77" s="5">
        <f t="shared" si="127"/>
        <v>2.6250659141746051</v>
      </c>
      <c r="O77" s="5">
        <f t="shared" si="127"/>
        <v>2.7387783646860515</v>
      </c>
      <c r="P77" s="5">
        <f t="shared" si="127"/>
        <v>3.1653231884594932</v>
      </c>
      <c r="Q77" s="5">
        <f t="shared" si="127"/>
        <v>2.3927946369598745</v>
      </c>
      <c r="R77" s="5">
        <f t="shared" si="127"/>
        <v>2.5466542027455259</v>
      </c>
      <c r="S77" s="5">
        <f t="shared" ref="S77:U77" si="128">IFERROR(-S16*100/S52, "N/A")</f>
        <v>2.654260861411804</v>
      </c>
      <c r="T77" s="5">
        <f t="shared" si="128"/>
        <v>2.5504700312620336</v>
      </c>
      <c r="U77" s="5">
        <f t="shared" si="128"/>
        <v>2.5709987017993052</v>
      </c>
      <c r="V77" s="5">
        <f t="shared" ref="V77:Y77" si="129">IFERROR(-V16*100/V52, "N/A")</f>
        <v>2.6502172871878851</v>
      </c>
      <c r="W77" s="5">
        <f t="shared" si="129"/>
        <v>3.9863731799543762</v>
      </c>
      <c r="X77" s="5">
        <f t="shared" si="129"/>
        <v>2.1873598312478135</v>
      </c>
      <c r="Y77" s="5">
        <f t="shared" si="129"/>
        <v>2.339664189375172</v>
      </c>
      <c r="Z77" s="5">
        <f t="shared" ref="Z77:AA77" si="130">IFERROR(-Z16*100/Z52, "N/A")</f>
        <v>3.6696663589804328</v>
      </c>
      <c r="AA77" s="5">
        <f t="shared" si="130"/>
        <v>4.7876602564102555</v>
      </c>
      <c r="AB77" s="5">
        <f t="shared" ref="AB77:AC77" si="131">IFERROR(-AB16*100/AB52, "N/A")</f>
        <v>3.3860699378397912</v>
      </c>
      <c r="AC77" s="5" t="str">
        <f t="shared" si="131"/>
        <v>N/A</v>
      </c>
    </row>
    <row r="78" spans="1:29" x14ac:dyDescent="0.3">
      <c r="A78" s="85" t="s">
        <v>0</v>
      </c>
      <c r="B78" s="40"/>
      <c r="C78" s="2" t="str">
        <f ca="1">IFERROR(IF(Inputs!$E$14 = "Semi-annual",(C77/OFFSET(C77,0,-2,,))-1,(C77/OFFSET(C77,0,-4,,))-1),"")</f>
        <v/>
      </c>
      <c r="D78" s="2" t="str">
        <f ca="1">IFERROR(IF(Inputs!$E$14 = "Semi-annual",(D77/OFFSET(D77,0,-2,,))-1,(D77/OFFSET(D77,0,-4,,))-1),"")</f>
        <v/>
      </c>
      <c r="E78" s="2" t="str">
        <f ca="1">IFERROR(IF(Inputs!$E$14 = "Semi-annual",(E77/OFFSET(E77,0,-2,,))-1,(E77/OFFSET(E77,0,-4,,))-1),"")</f>
        <v/>
      </c>
      <c r="F78" s="2">
        <f ca="1">IFERROR(IF(Inputs!$E$14 = "Semi-annual",(F77/OFFSET(F77,0,-2,,))-1,(F77/OFFSET(F77,0,-4,,))-1),"")</f>
        <v>-0.37234564205662302</v>
      </c>
      <c r="G78" s="2">
        <f ca="1">IFERROR(IF(Inputs!$E$14 = "Semi-annual",(G77/OFFSET(G77,0,-2,,))-1,(G77/OFFSET(G77,0,-4,,))-1),"")</f>
        <v>-0.30092969587200702</v>
      </c>
      <c r="H78" s="2">
        <f ca="1">IFERROR(IF(Inputs!$E$14 = "Semi-annual",(H77/OFFSET(H77,0,-2,,))-1,(H77/OFFSET(H77,0,-4,,))-1),"")</f>
        <v>-0.15800670676752437</v>
      </c>
      <c r="I78" s="2">
        <f ca="1">IFERROR(IF(Inputs!$E$14 = "Semi-annual",(I77/OFFSET(I77,0,-2,,))-1,(I77/OFFSET(I77,0,-4,,))-1),"")</f>
        <v>-3.0732606134499241E-2</v>
      </c>
      <c r="J78" s="2">
        <f ca="1">IFERROR(IF(Inputs!$E$14 = "Semi-annual",(J77/OFFSET(J77,0,-2,,))-1,(J77/OFFSET(J77,0,-4,,))-1),"")</f>
        <v>0.32874810701675106</v>
      </c>
      <c r="K78" s="2">
        <f ca="1">IFERROR(IF(Inputs!$E$14 = "Semi-annual",(K77/OFFSET(K77,0,-2,,))-1,(K77/OFFSET(K77,0,-4,,))-1),"")</f>
        <v>0.12158499666728817</v>
      </c>
      <c r="L78" s="2">
        <f ca="1">IFERROR(IF(Inputs!$E$14 = "Semi-annual",(L77/OFFSET(L77,0,-2,,))-1,(L77/OFFSET(L77,0,-4,,))-1),"")</f>
        <v>0.26647989632163593</v>
      </c>
      <c r="M78" s="2">
        <f ca="1">IFERROR(IF(Inputs!$E$14 = "Semi-annual",(M77/OFFSET(M77,0,-2,,))-1,(M77/OFFSET(M77,0,-4,,))-1),"")</f>
        <v>0.17899116473503351</v>
      </c>
      <c r="N78" s="2">
        <f ca="1">IFERROR(IF(Inputs!$E$14 = "Semi-annual",(N77/OFFSET(N77,0,-2,,))-1,(N77/OFFSET(N77,0,-4,,))-1),"")</f>
        <v>0.20718160023149013</v>
      </c>
      <c r="O78" s="2">
        <f ca="1">IFERROR(IF(Inputs!$E$14 = "Semi-annual",(O77/OFFSET(O77,0,-2,,))-1,(O77/OFFSET(O77,0,-4,,))-1),"")</f>
        <v>0.33445624011461672</v>
      </c>
      <c r="P78" s="2">
        <f ca="1">IFERROR(IF(Inputs!$E$14 = "Semi-annual",(P77/OFFSET(P77,0,-2,,))-1,(P77/OFFSET(P77,0,-4,,))-1),"")</f>
        <v>0.30955949416355422</v>
      </c>
      <c r="Q78" s="2">
        <f ca="1">IFERROR(IF(Inputs!$E$14 = "Semi-annual",(Q77/OFFSET(Q77,0,-2,,))-1,(Q77/OFFSET(Q77,0,-4,,))-1),"")</f>
        <v>5.2431141243181045E-4</v>
      </c>
      <c r="R78" s="2">
        <f ca="1">IFERROR(IF(Inputs!$E$14 = "Semi-annual",(R77/OFFSET(R77,0,-2,,))-1,(R77/OFFSET(R77,0,-4,,))-1),"")</f>
        <v>-2.9870378113432627E-2</v>
      </c>
      <c r="S78" s="2">
        <f ca="1">IFERROR(IF(Inputs!$E$14 = "Semi-annual",(S77/OFFSET(S77,0,-2,,))-1,(S77/OFFSET(S77,0,-4,,))-1),"")</f>
        <v>-3.0859562921929151E-2</v>
      </c>
      <c r="T78" s="2">
        <f ca="1">IFERROR(IF(Inputs!$E$14 = "Semi-annual",(T77/OFFSET(T77,0,-2,,))-1,(T77/OFFSET(T77,0,-4,,))-1),"")</f>
        <v>-0.19424656522884087</v>
      </c>
      <c r="U78" s="2">
        <f ca="1">IFERROR(IF(Inputs!$E$14 = "Semi-annual",(U77/OFFSET(U77,0,-2,,))-1,(U77/OFFSET(U77,0,-4,,))-1),"")</f>
        <v>7.4475285963464533E-2</v>
      </c>
      <c r="V78" s="2">
        <f ca="1">IFERROR(IF(Inputs!$E$14 = "Semi-annual",(V77/OFFSET(V77,0,-2,,))-1,(V77/OFFSET(V77,0,-4,,))-1),"")</f>
        <v>4.0666331663996136E-2</v>
      </c>
      <c r="W78" s="2">
        <f ca="1">IFERROR(IF(Inputs!$E$14 = "Semi-annual",(W77/OFFSET(W77,0,-2,,))-1,(W77/OFFSET(W77,0,-4,,))-1),"")</f>
        <v>0.50187693979484016</v>
      </c>
      <c r="X78" s="2">
        <f ca="1">IFERROR(IF(Inputs!$E$14 = "Semi-annual",(X77/OFFSET(X77,0,-2,,))-1,(X77/OFFSET(X77,0,-4,,))-1),"")</f>
        <v>-0.1423699143936008</v>
      </c>
      <c r="Y78" s="2">
        <f ca="1">IFERROR(IF(Inputs!$E$14 = "Semi-annual",(Y77/OFFSET(Y77,0,-2,,))-1,(Y77/OFFSET(Y77,0,-4,,))-1),"")</f>
        <v>-8.9978463334981273E-2</v>
      </c>
      <c r="Z78" s="2">
        <f ca="1">IFERROR(IF(Inputs!$E$14 = "Semi-annual",(Z77/OFFSET(Z77,0,-2,,))-1,(Z77/OFFSET(Z77,0,-4,,))-1),"")</f>
        <v>0.38466622217013513</v>
      </c>
      <c r="AA78" s="2">
        <f ca="1">IFERROR(IF(Inputs!$E$14 = "Semi-annual",(AA77/OFFSET(AA77,0,-2,,))-1,(AA77/OFFSET(AA77,0,-4,,))-1),"")</f>
        <v>0.20100653909804045</v>
      </c>
      <c r="AB78" s="2">
        <f ca="1">IFERROR(IF(Inputs!$E$14 = "Semi-annual",(AB77/OFFSET(AB77,0,-2,,))-1,(AB77/OFFSET(AB77,0,-4,,))-1),"")</f>
        <v>0.54801687836982671</v>
      </c>
      <c r="AC78" s="2" t="str">
        <f ca="1">IFERROR(IF(Inputs!$E$14 = "Semi-annual",(AC77/OFFSET(AC77,0,-2,,))-1,(AC77/OFFSET(AC77,0,-4,,))-1),"")</f>
        <v/>
      </c>
    </row>
    <row r="79" spans="1:29" x14ac:dyDescent="0.3">
      <c r="A79" s="85" t="s">
        <v>464</v>
      </c>
      <c r="B79" s="5">
        <f t="shared" ref="B79:R79" si="132">IFERROR(-(B24-B16)*100/B52, "N/A")</f>
        <v>9.7864852518911487</v>
      </c>
      <c r="C79" s="5">
        <f t="shared" si="132"/>
        <v>8.9070336758147146</v>
      </c>
      <c r="D79" s="5">
        <f t="shared" si="132"/>
        <v>7.3398075736924779</v>
      </c>
      <c r="E79" s="5">
        <f t="shared" si="132"/>
        <v>8.7682329765757476</v>
      </c>
      <c r="F79" s="5">
        <f t="shared" si="132"/>
        <v>8.9862577893099935</v>
      </c>
      <c r="G79" s="5">
        <f t="shared" si="132"/>
        <v>8.1250417762564666</v>
      </c>
      <c r="H79" s="5">
        <f t="shared" si="132"/>
        <v>6.7633510367672365</v>
      </c>
      <c r="I79" s="5">
        <f t="shared" si="132"/>
        <v>8.0935021338470889</v>
      </c>
      <c r="J79" s="5">
        <f t="shared" si="132"/>
        <v>8.767459033514756</v>
      </c>
      <c r="K79" s="5">
        <f t="shared" si="132"/>
        <v>7.4833383734612715</v>
      </c>
      <c r="L79" s="5">
        <f t="shared" si="132"/>
        <v>6.5269136552511959</v>
      </c>
      <c r="M79" s="5">
        <f t="shared" si="132"/>
        <v>8.3980498107147756</v>
      </c>
      <c r="N79" s="5">
        <f t="shared" si="132"/>
        <v>9.1256836870942646</v>
      </c>
      <c r="O79" s="5">
        <f t="shared" si="132"/>
        <v>7.7901766348227719</v>
      </c>
      <c r="P79" s="5">
        <f t="shared" si="132"/>
        <v>6.4622462468987019</v>
      </c>
      <c r="Q79" s="5">
        <f t="shared" si="132"/>
        <v>8.6217507623461476</v>
      </c>
      <c r="R79" s="5">
        <f t="shared" si="132"/>
        <v>8.6401241906996304</v>
      </c>
      <c r="S79" s="5">
        <f t="shared" ref="S79:U79" si="133">IFERROR(-(S24-S16)*100/S52, "N/A")</f>
        <v>7.6333435469461577</v>
      </c>
      <c r="T79" s="5">
        <f t="shared" si="133"/>
        <v>6.9723736993695855</v>
      </c>
      <c r="U79" s="5">
        <f t="shared" si="133"/>
        <v>8.0426113235773116</v>
      </c>
      <c r="V79" s="5">
        <f t="shared" ref="V79:Y79" si="134">IFERROR(-(V24-V16)*100/V52, "N/A")</f>
        <v>8.9238775878395895</v>
      </c>
      <c r="W79" s="5">
        <f t="shared" si="134"/>
        <v>36.809655572965809</v>
      </c>
      <c r="X79" s="5">
        <f t="shared" si="134"/>
        <v>11.836741486809597</v>
      </c>
      <c r="Y79" s="5">
        <f t="shared" si="134"/>
        <v>15.264119310362085</v>
      </c>
      <c r="Z79" s="5">
        <f t="shared" ref="Z79:AA79" si="135">IFERROR(-(Z24-Z16)*100/Z52, "N/A")</f>
        <v>21.008839905162976</v>
      </c>
      <c r="AA79" s="5">
        <f t="shared" si="135"/>
        <v>26.462339743589745</v>
      </c>
      <c r="AB79" s="5">
        <f t="shared" ref="AB79:AC79" si="136">IFERROR(-(AB24-AB16)*100/AB52, "N/A")</f>
        <v>11.528420318026576</v>
      </c>
      <c r="AC79" s="5" t="str">
        <f t="shared" si="136"/>
        <v>N/A</v>
      </c>
    </row>
    <row r="80" spans="1:29" x14ac:dyDescent="0.3">
      <c r="A80" s="85" t="s">
        <v>0</v>
      </c>
      <c r="B80" s="40"/>
      <c r="C80" s="2" t="str">
        <f ca="1">IFERROR(IF(Inputs!$E$14 = "Semi-annual",(C79/OFFSET(C79,0,-2,,))-1,(C79/OFFSET(C79,0,-4,,))-1),"")</f>
        <v/>
      </c>
      <c r="D80" s="2" t="str">
        <f ca="1">IFERROR(IF(Inputs!$E$14 = "Semi-annual",(D79/OFFSET(D79,0,-2,,))-1,(D79/OFFSET(D79,0,-4,,))-1),"")</f>
        <v/>
      </c>
      <c r="E80" s="2" t="str">
        <f ca="1">IFERROR(IF(Inputs!$E$14 = "Semi-annual",(E79/OFFSET(E79,0,-2,,))-1,(E79/OFFSET(E79,0,-4,,))-1),"")</f>
        <v/>
      </c>
      <c r="F80" s="2">
        <f ca="1">IFERROR(IF(Inputs!$E$14 = "Semi-annual",(F79/OFFSET(F79,0,-2,,))-1,(F79/OFFSET(F79,0,-4,,))-1),"")</f>
        <v>-8.1768627038651953E-2</v>
      </c>
      <c r="G80" s="2">
        <f ca="1">IFERROR(IF(Inputs!$E$14 = "Semi-annual",(G79/OFFSET(G79,0,-2,,))-1,(G79/OFFSET(G79,0,-4,,))-1),"")</f>
        <v>-8.7794874031024706E-2</v>
      </c>
      <c r="H80" s="2">
        <f ca="1">IFERROR(IF(Inputs!$E$14 = "Semi-annual",(H79/OFFSET(H79,0,-2,,))-1,(H79/OFFSET(H79,0,-4,,))-1),"")</f>
        <v>-7.8538371903834614E-2</v>
      </c>
      <c r="I80" s="2">
        <f ca="1">IFERROR(IF(Inputs!$E$14 = "Semi-annual",(I79/OFFSET(I79,0,-2,,))-1,(I79/OFFSET(I79,0,-4,,))-1),"")</f>
        <v>-7.6951746666768073E-2</v>
      </c>
      <c r="J80" s="2">
        <f ca="1">IFERROR(IF(Inputs!$E$14 = "Semi-annual",(J79/OFFSET(J79,0,-2,,))-1,(J79/OFFSET(J79,0,-4,,))-1),"")</f>
        <v>-2.4348150356371834E-2</v>
      </c>
      <c r="K80" s="2">
        <f ca="1">IFERROR(IF(Inputs!$E$14 = "Semi-annual",(K79/OFFSET(K79,0,-2,,))-1,(K79/OFFSET(K79,0,-4,,))-1),"")</f>
        <v>-7.8978474260947618E-2</v>
      </c>
      <c r="L80" s="2">
        <f ca="1">IFERROR(IF(Inputs!$E$14 = "Semi-annual",(L79/OFFSET(L79,0,-2,,))-1,(L79/OFFSET(L79,0,-4,,))-1),"")</f>
        <v>-3.495861448425619E-2</v>
      </c>
      <c r="M80" s="2">
        <f ca="1">IFERROR(IF(Inputs!$E$14 = "Semi-annual",(M79/OFFSET(M79,0,-2,,))-1,(M79/OFFSET(M79,0,-4,,))-1),"")</f>
        <v>3.7628664554750113E-2</v>
      </c>
      <c r="N80" s="2">
        <f ca="1">IFERROR(IF(Inputs!$E$14 = "Semi-annual",(N79/OFFSET(N79,0,-2,,))-1,(N79/OFFSET(N79,0,-4,,))-1),"")</f>
        <v>4.0858434833872304E-2</v>
      </c>
      <c r="O80" s="2">
        <f ca="1">IFERROR(IF(Inputs!$E$14 = "Semi-annual",(O79/OFFSET(O79,0,-2,,))-1,(O79/OFFSET(O79,0,-4,,))-1),"")</f>
        <v>4.1002858089334016E-2</v>
      </c>
      <c r="P80" s="2">
        <f ca="1">IFERROR(IF(Inputs!$E$14 = "Semi-annual",(P79/OFFSET(P79,0,-2,,))-1,(P79/OFFSET(P79,0,-4,,))-1),"")</f>
        <v>-9.9078081568408916E-3</v>
      </c>
      <c r="Q80" s="2">
        <f ca="1">IFERROR(IF(Inputs!$E$14 = "Semi-annual",(Q79/OFFSET(Q79,0,-2,,))-1,(Q79/OFFSET(Q79,0,-4,,))-1),"")</f>
        <v>2.663724991794636E-2</v>
      </c>
      <c r="R80" s="2">
        <f ca="1">IFERROR(IF(Inputs!$E$14 = "Semi-annual",(R79/OFFSET(R79,0,-2,,))-1,(R79/OFFSET(R79,0,-4,,))-1),"")</f>
        <v>-5.3208013015104028E-2</v>
      </c>
      <c r="S80" s="2">
        <f ca="1">IFERROR(IF(Inputs!$E$14 = "Semi-annual",(S79/OFFSET(S79,0,-2,,))-1,(S79/OFFSET(S79,0,-4,,))-1),"")</f>
        <v>-2.013216069781476E-2</v>
      </c>
      <c r="T80" s="2">
        <f ca="1">IFERROR(IF(Inputs!$E$14 = "Semi-annual",(T79/OFFSET(T79,0,-2,,))-1,(T79/OFFSET(T79,0,-4,,))-1),"")</f>
        <v>7.8939649307808279E-2</v>
      </c>
      <c r="U80" s="2">
        <f ca="1">IFERROR(IF(Inputs!$E$14 = "Semi-annual",(U79/OFFSET(U79,0,-2,,))-1,(U79/OFFSET(U79,0,-4,,))-1),"")</f>
        <v>-6.7171906812490745E-2</v>
      </c>
      <c r="V80" s="2">
        <f ca="1">IFERROR(IF(Inputs!$E$14 = "Semi-annual",(V79/OFFSET(V79,0,-2,,))-1,(V79/OFFSET(V79,0,-4,,))-1),"")</f>
        <v>3.2841356313535019E-2</v>
      </c>
      <c r="W80" s="2">
        <f ca="1">IFERROR(IF(Inputs!$E$14 = "Semi-annual",(W79/OFFSET(W79,0,-2,,))-1,(W79/OFFSET(W79,0,-4,,))-1),"")</f>
        <v>3.8222191686488562</v>
      </c>
      <c r="X80" s="2">
        <f ca="1">IFERROR(IF(Inputs!$E$14 = "Semi-annual",(X79/OFFSET(X79,0,-2,,))-1,(X79/OFFSET(X79,0,-4,,))-1),"")</f>
        <v>0.69766309110480251</v>
      </c>
      <c r="Y80" s="2">
        <f ca="1">IFERROR(IF(Inputs!$E$14 = "Semi-annual",(Y79/OFFSET(Y79,0,-2,,))-1,(Y79/OFFSET(Y79,0,-4,,))-1),"")</f>
        <v>0.89790587860618931</v>
      </c>
      <c r="Z80" s="2">
        <f ca="1">IFERROR(IF(Inputs!$E$14 = "Semi-annual",(Z79/OFFSET(Z79,0,-2,,))-1,(Z79/OFFSET(Z79,0,-4,,))-1),"")</f>
        <v>1.3542277108094076</v>
      </c>
      <c r="AA80" s="2">
        <f ca="1">IFERROR(IF(Inputs!$E$14 = "Semi-annual",(AA79/OFFSET(AA79,0,-2,,))-1,(AA79/OFFSET(AA79,0,-4,,))-1),"")</f>
        <v>-0.28110330478004975</v>
      </c>
      <c r="AB80" s="2">
        <f ca="1">IFERROR(IF(Inputs!$E$14 = "Semi-annual",(AB79/OFFSET(AB79,0,-2,,))-1,(AB79/OFFSET(AB79,0,-4,,))-1),"")</f>
        <v>-2.6047807931481981E-2</v>
      </c>
      <c r="AC80" s="2" t="str">
        <f ca="1">IFERROR(IF(Inputs!$E$14 = "Semi-annual",(AC79/OFFSET(AC79,0,-2,,))-1,(AC79/OFFSET(AC79,0,-4,,))-1),"")</f>
        <v/>
      </c>
    </row>
    <row r="81" spans="1:29" x14ac:dyDescent="0.3">
      <c r="A81" s="85" t="s">
        <v>48</v>
      </c>
      <c r="B81" s="2">
        <f t="shared" ref="B81:R81" si="137">IFERROR(B26/B13, "N/A")</f>
        <v>0.13388734995383195</v>
      </c>
      <c r="C81" s="2">
        <f t="shared" si="137"/>
        <v>0.16432337434094904</v>
      </c>
      <c r="D81" s="2">
        <f t="shared" si="137"/>
        <v>0.26572209793686302</v>
      </c>
      <c r="E81" s="2">
        <f t="shared" si="137"/>
        <v>0.14047768698931495</v>
      </c>
      <c r="F81" s="2">
        <f t="shared" si="137"/>
        <v>0.13401136703559677</v>
      </c>
      <c r="G81" s="2">
        <f t="shared" si="137"/>
        <v>0.17090803932909213</v>
      </c>
      <c r="H81" s="2">
        <f t="shared" si="137"/>
        <v>0.27724106942260163</v>
      </c>
      <c r="I81" s="2">
        <f t="shared" si="137"/>
        <v>0.12875912408759102</v>
      </c>
      <c r="J81" s="2">
        <f t="shared" si="137"/>
        <v>8.9511257550796183E-2</v>
      </c>
      <c r="K81" s="2">
        <f t="shared" si="137"/>
        <v>0.16700767263427105</v>
      </c>
      <c r="L81" s="2">
        <f t="shared" si="137"/>
        <v>0.28647540983606545</v>
      </c>
      <c r="M81" s="2">
        <f t="shared" si="137"/>
        <v>0.13193717277486902</v>
      </c>
      <c r="N81" s="2">
        <f t="shared" si="137"/>
        <v>9.2851879145173011E-2</v>
      </c>
      <c r="O81" s="2">
        <f t="shared" si="137"/>
        <v>0.14470343872605596</v>
      </c>
      <c r="P81" s="2">
        <f t="shared" si="137"/>
        <v>0.22991689750692504</v>
      </c>
      <c r="Q81" s="2">
        <f t="shared" si="137"/>
        <v>0.12293923692887415</v>
      </c>
      <c r="R81" s="2">
        <f t="shared" si="137"/>
        <v>0.13092297327644309</v>
      </c>
      <c r="S81" s="2">
        <f t="shared" ref="S81:U81" si="138">IFERROR(S26/S13, "N/A")</f>
        <v>0.19255833508513748</v>
      </c>
      <c r="T81" s="2">
        <f t="shared" si="138"/>
        <v>0.26508193769133792</v>
      </c>
      <c r="U81" s="2">
        <f t="shared" si="138"/>
        <v>0.15224358974358981</v>
      </c>
      <c r="V81" s="2">
        <f t="shared" ref="V81:Y81" si="139">IFERROR(V26/V13, "N/A")</f>
        <v>1.9075765717356162E-2</v>
      </c>
      <c r="W81" s="2">
        <f t="shared" si="139"/>
        <v>-1.4079696394686909</v>
      </c>
      <c r="X81" s="2">
        <f t="shared" si="139"/>
        <v>-0.48216644649933926</v>
      </c>
      <c r="Y81" s="2">
        <f t="shared" si="139"/>
        <v>-0.70133010882708591</v>
      </c>
      <c r="Z81" s="2">
        <f t="shared" ref="Z81:AA81" si="140">IFERROR(Z26/Z13, "N/A")</f>
        <v>-0.84499314128943748</v>
      </c>
      <c r="AA81" s="2">
        <f t="shared" si="140"/>
        <v>-0.86379928315412191</v>
      </c>
      <c r="AB81" s="2">
        <f t="shared" ref="AB81:AC81" si="141">IFERROR(AB26/AB13, "N/A")</f>
        <v>1.1412268188302342E-2</v>
      </c>
      <c r="AC81" s="2" t="str">
        <f t="shared" si="141"/>
        <v>N/A</v>
      </c>
    </row>
    <row r="82" spans="1:29" x14ac:dyDescent="0.3">
      <c r="A82" s="85" t="s">
        <v>465</v>
      </c>
      <c r="B82" s="2">
        <f>IFERROR(B75/B63, "N/A")</f>
        <v>0.70559719954947431</v>
      </c>
      <c r="C82" s="2">
        <f t="shared" ref="C82:I82" si="142">IFERROR(C75/C63, "N/A")</f>
        <v>0.6992336955705698</v>
      </c>
      <c r="D82" s="2">
        <f t="shared" si="142"/>
        <v>0.6384021428517489</v>
      </c>
      <c r="E82" s="2">
        <f t="shared" si="142"/>
        <v>0.69699246973217932</v>
      </c>
      <c r="F82" s="2">
        <f t="shared" si="142"/>
        <v>0.70264151069748282</v>
      </c>
      <c r="G82" s="2">
        <f t="shared" si="142"/>
        <v>0.68341459593791543</v>
      </c>
      <c r="H82" s="2">
        <f t="shared" si="142"/>
        <v>0.61786770901282406</v>
      </c>
      <c r="I82" s="2">
        <f t="shared" si="142"/>
        <v>0.69581742672231373</v>
      </c>
      <c r="J82" s="2">
        <f>IFERROR(J75/J63, "N/A")</f>
        <v>0.729417053606222</v>
      </c>
      <c r="K82" s="2">
        <f>IFERROR(K75/K63, "N/A")</f>
        <v>0.68749707879914723</v>
      </c>
      <c r="L82" s="2">
        <f t="shared" ref="L82:O82" si="143">IFERROR(L75/L63, "N/A")</f>
        <v>0.60832280034845976</v>
      </c>
      <c r="M82" s="2">
        <f t="shared" si="143"/>
        <v>0.69600043804963163</v>
      </c>
      <c r="N82" s="2">
        <f t="shared" si="143"/>
        <v>0.7458011258254631</v>
      </c>
      <c r="O82" s="2">
        <f t="shared" si="143"/>
        <v>0.71054634563423413</v>
      </c>
      <c r="P82" s="2">
        <f t="shared" ref="P82:R82" si="144">IFERROR(P75/P63, "N/A")</f>
        <v>0.66150875192278658</v>
      </c>
      <c r="Q82" s="2">
        <f t="shared" si="144"/>
        <v>0.71270181001025423</v>
      </c>
      <c r="R82" s="2">
        <f t="shared" si="144"/>
        <v>0.71130293396466382</v>
      </c>
      <c r="S82" s="2">
        <f t="shared" ref="S82:U82" si="145">IFERROR(S75/S63, "N/A")</f>
        <v>0.67878910010381299</v>
      </c>
      <c r="T82" s="2">
        <f t="shared" si="145"/>
        <v>0.63295743641668478</v>
      </c>
      <c r="U82" s="2">
        <f t="shared" si="145"/>
        <v>0.68648671819900675</v>
      </c>
      <c r="V82" s="2">
        <f t="shared" ref="V82:Y82" si="146">IFERROR(V75/V63, "N/A")</f>
        <v>0.73042578238212941</v>
      </c>
      <c r="W82" s="2">
        <f t="shared" si="146"/>
        <v>0.84058859906553063</v>
      </c>
      <c r="X82" s="2">
        <f t="shared" si="146"/>
        <v>0.62709916722791015</v>
      </c>
      <c r="Y82" s="2">
        <f t="shared" si="146"/>
        <v>0.68960580411124539</v>
      </c>
      <c r="Z82" s="2">
        <f t="shared" ref="Z82:AA82" si="147">IFERROR(Z75/Z63, "N/A")</f>
        <v>0.8022280792450629</v>
      </c>
      <c r="AA82" s="2">
        <f t="shared" si="147"/>
        <v>0.78605734767025093</v>
      </c>
      <c r="AB82" s="2">
        <f t="shared" ref="AB82:AC82" si="148">IFERROR(AB75/AB63, "N/A")</f>
        <v>0.70391075002605119</v>
      </c>
      <c r="AC82" s="2" t="str">
        <f t="shared" si="148"/>
        <v>N/A</v>
      </c>
    </row>
    <row r="83" spans="1:29" x14ac:dyDescent="0.3">
      <c r="A83" s="85" t="s">
        <v>466</v>
      </c>
      <c r="B83" s="5">
        <f t="shared" ref="B83:R83" si="149">IFERROR((B13-B30)*100/B52, "N/A")</f>
        <v>13.428889978855137</v>
      </c>
      <c r="C83" s="5">
        <f t="shared" si="149"/>
        <v>12.578912864619966</v>
      </c>
      <c r="D83" s="5">
        <f t="shared" si="149"/>
        <v>10.432477933719746</v>
      </c>
      <c r="E83" s="5">
        <f t="shared" si="149"/>
        <v>11.885562182468846</v>
      </c>
      <c r="F83" s="5">
        <f t="shared" si="149"/>
        <v>11.701582723605377</v>
      </c>
      <c r="G83" s="5">
        <f t="shared" si="149"/>
        <v>11.045195679603342</v>
      </c>
      <c r="H83" s="5">
        <f t="shared" si="149"/>
        <v>9.5829864231596353</v>
      </c>
      <c r="I83" s="5">
        <f t="shared" si="149"/>
        <v>11.248136243016324</v>
      </c>
      <c r="J83" s="5">
        <f t="shared" si="149"/>
        <v>12.09691562546673</v>
      </c>
      <c r="K83" s="5">
        <f t="shared" si="149"/>
        <v>10.624818058408044</v>
      </c>
      <c r="L83" s="5">
        <f t="shared" si="149"/>
        <v>9.8841258344772154</v>
      </c>
      <c r="M83" s="5">
        <f t="shared" si="149"/>
        <v>11.996749187177592</v>
      </c>
      <c r="N83" s="5">
        <f t="shared" si="149"/>
        <v>12.99805364776153</v>
      </c>
      <c r="O83" s="5">
        <f t="shared" si="149"/>
        <v>11.668218613864743</v>
      </c>
      <c r="P83" s="5">
        <f t="shared" si="149"/>
        <v>10.562621143108812</v>
      </c>
      <c r="Q83" s="5">
        <f t="shared" si="149"/>
        <v>12.197632982475305</v>
      </c>
      <c r="R83" s="5">
        <f t="shared" si="149"/>
        <v>12.504910421199936</v>
      </c>
      <c r="S83" s="5">
        <f t="shared" ref="S83:U83" si="150">IFERROR((S13-S30)*100/S52, "N/A")</f>
        <v>11.610717289828628</v>
      </c>
      <c r="T83" s="5">
        <f t="shared" si="150"/>
        <v>10.726908265060905</v>
      </c>
      <c r="U83" s="5">
        <f t="shared" si="150"/>
        <v>12.1040440554052</v>
      </c>
      <c r="V83" s="5">
        <f t="shared" ref="V83:Y83" si="151">IFERROR((V13-V30)*100/V52, "N/A")</f>
        <v>13.171833526633568</v>
      </c>
      <c r="W83" s="5">
        <f t="shared" si="151"/>
        <v>56.452187935482947</v>
      </c>
      <c r="X83" s="5">
        <f t="shared" si="151"/>
        <v>19.273764913052162</v>
      </c>
      <c r="Y83" s="5">
        <f t="shared" si="151"/>
        <v>23.083852563621349</v>
      </c>
      <c r="Z83" s="5">
        <f t="shared" ref="Z83:AA83" si="152">IFERROR((Z13-Z30)*100/Z52, "N/A")</f>
        <v>32.256367295438004</v>
      </c>
      <c r="AA83" s="5">
        <f t="shared" si="152"/>
        <v>39.342948717948715</v>
      </c>
      <c r="AB83" s="5">
        <f t="shared" ref="AB83:AC83" si="153">IFERROR((AB13-AB30)*100/AB52, "N/A")</f>
        <v>17.78404105064585</v>
      </c>
      <c r="AC83" s="5" t="str">
        <f t="shared" si="153"/>
        <v>N/A</v>
      </c>
    </row>
    <row r="84" spans="1:29" x14ac:dyDescent="0.3">
      <c r="A84" s="85" t="s">
        <v>0</v>
      </c>
      <c r="B84" s="40"/>
      <c r="C84" s="2" t="str">
        <f ca="1">IFERROR(IF(Inputs!$E$14 = "Semi-annual",(C83/OFFSET(C83,0,-2,,))-1,(C83/OFFSET(C83,0,-4,,))-1),"")</f>
        <v/>
      </c>
      <c r="D84" s="2" t="str">
        <f ca="1">IFERROR(IF(Inputs!$E$14 = "Semi-annual",(D83/OFFSET(D83,0,-2,,))-1,(D83/OFFSET(D83,0,-4,,))-1),"")</f>
        <v/>
      </c>
      <c r="E84" s="2" t="str">
        <f ca="1">IFERROR(IF(Inputs!$E$14 = "Semi-annual",(E83/OFFSET(E83,0,-2,,))-1,(E83/OFFSET(E83,0,-4,,))-1),"")</f>
        <v/>
      </c>
      <c r="F84" s="2">
        <f ca="1">IFERROR(IF(Inputs!$E$14 = "Semi-annual",(F83/OFFSET(F83,0,-2,,))-1,(F83/OFFSET(F83,0,-4,,))-1),"")</f>
        <v>-0.12862621243971351</v>
      </c>
      <c r="G84" s="2">
        <f ca="1">IFERROR(IF(Inputs!$E$14 = "Semi-annual",(G83/OFFSET(G83,0,-2,,))-1,(G83/OFFSET(G83,0,-4,,))-1),"")</f>
        <v>-0.12192764204054773</v>
      </c>
      <c r="H84" s="2">
        <f ca="1">IFERROR(IF(Inputs!$E$14 = "Semi-annual",(H83/OFFSET(H83,0,-2,,))-1,(H83/OFFSET(H83,0,-4,,))-1),"")</f>
        <v>-8.1427587573839277E-2</v>
      </c>
      <c r="I84" s="2">
        <f ca="1">IFERROR(IF(Inputs!$E$14 = "Semi-annual",(I83/OFFSET(I83,0,-2,,))-1,(I83/OFFSET(I83,0,-4,,))-1),"")</f>
        <v>-5.3630272566553283E-2</v>
      </c>
      <c r="J84" s="2">
        <f ca="1">IFERROR(IF(Inputs!$E$14 = "Semi-annual",(J83/OFFSET(J83,0,-2,,))-1,(J83/OFFSET(J83,0,-4,,))-1),"")</f>
        <v>3.3784566686338557E-2</v>
      </c>
      <c r="K84" s="2">
        <f ca="1">IFERROR(IF(Inputs!$E$14 = "Semi-annual",(K83/OFFSET(K83,0,-2,,))-1,(K83/OFFSET(K83,0,-4,,))-1),"")</f>
        <v>-3.8059771269746689E-2</v>
      </c>
      <c r="L84" s="2">
        <f ca="1">IFERROR(IF(Inputs!$E$14 = "Semi-annual",(L83/OFFSET(L83,0,-2,,))-1,(L83/OFFSET(L83,0,-4,,))-1),"")</f>
        <v>3.1424380461377188E-2</v>
      </c>
      <c r="M84" s="2">
        <f ca="1">IFERROR(IF(Inputs!$E$14 = "Semi-annual",(M83/OFFSET(M83,0,-2,,))-1,(M83/OFFSET(M83,0,-4,,))-1),"")</f>
        <v>6.6554398701034856E-2</v>
      </c>
      <c r="N84" s="2">
        <f ca="1">IFERROR(IF(Inputs!$E$14 = "Semi-annual",(N83/OFFSET(N83,0,-2,,))-1,(N83/OFFSET(N83,0,-4,,))-1),"")</f>
        <v>7.4493205557101039E-2</v>
      </c>
      <c r="O84" s="2">
        <f ca="1">IFERROR(IF(Inputs!$E$14 = "Semi-annual",(O83/OFFSET(O83,0,-2,,))-1,(O83/OFFSET(O83,0,-4,,))-1),"")</f>
        <v>9.8204086857844652E-2</v>
      </c>
      <c r="P84" s="2">
        <f ca="1">IFERROR(IF(Inputs!$E$14 = "Semi-annual",(P83/OFFSET(P83,0,-2,,))-1,(P83/OFFSET(P83,0,-4,,))-1),"")</f>
        <v>6.8644948475353296E-2</v>
      </c>
      <c r="Q84" s="2">
        <f ca="1">IFERROR(IF(Inputs!$E$14 = "Semi-annual",(Q83/OFFSET(Q83,0,-2,,))-1,(Q83/OFFSET(Q83,0,-4,,))-1),"")</f>
        <v>1.6744852473236982E-2</v>
      </c>
      <c r="R84" s="2">
        <f ca="1">IFERROR(IF(Inputs!$E$14 = "Semi-annual",(R83/OFFSET(R83,0,-2,,))-1,(R83/OFFSET(R83,0,-4,,))-1),"")</f>
        <v>-3.793977467130405E-2</v>
      </c>
      <c r="S84" s="2">
        <f ca="1">IFERROR(IF(Inputs!$E$14 = "Semi-annual",(S83/OFFSET(S83,0,-2,,))-1,(S83/OFFSET(S83,0,-4,,))-1),"")</f>
        <v>-4.9280293709778045E-3</v>
      </c>
      <c r="T84" s="2">
        <f ca="1">IFERROR(IF(Inputs!$E$14 = "Semi-annual",(T83/OFFSET(T83,0,-2,,))-1,(T83/OFFSET(T83,0,-4,,))-1),"")</f>
        <v>1.5553631975077975E-2</v>
      </c>
      <c r="U84" s="2">
        <f ca="1">IFERROR(IF(Inputs!$E$14 = "Semi-annual",(U83/OFFSET(U83,0,-2,,))-1,(U83/OFFSET(U83,0,-4,,))-1),"")</f>
        <v>-7.6727121733016768E-3</v>
      </c>
      <c r="V84" s="2">
        <f ca="1">IFERROR(IF(Inputs!$E$14 = "Semi-annual",(V83/OFFSET(V83,0,-2,,))-1,(V83/OFFSET(V83,0,-4,,))-1),"")</f>
        <v>5.3332897475457219E-2</v>
      </c>
      <c r="W84" s="2">
        <f ca="1">IFERROR(IF(Inputs!$E$14 = "Semi-annual",(W83/OFFSET(W83,0,-2,,))-1,(W83/OFFSET(W83,0,-4,,))-1),"")</f>
        <v>3.8620758327254192</v>
      </c>
      <c r="X84" s="2">
        <f ca="1">IFERROR(IF(Inputs!$E$14 = "Semi-annual",(X83/OFFSET(X83,0,-2,,))-1,(X83/OFFSET(X83,0,-4,,))-1),"")</f>
        <v>0.79676794438800314</v>
      </c>
      <c r="Y84" s="2">
        <f ca="1">IFERROR(IF(Inputs!$E$14 = "Semi-annual",(Y83/OFFSET(Y83,0,-2,,))-1,(Y83/OFFSET(Y83,0,-4,,))-1),"")</f>
        <v>0.90711901393922867</v>
      </c>
      <c r="Z84" s="2">
        <f ca="1">IFERROR(IF(Inputs!$E$14 = "Semi-annual",(Z83/OFFSET(Z83,0,-2,,))-1,(Z83/OFFSET(Z83,0,-4,,))-1),"")</f>
        <v>1.4488896880009401</v>
      </c>
      <c r="AA84" s="2">
        <f ca="1">IFERROR(IF(Inputs!$E$14 = "Semi-annual",(AA83/OFFSET(AA83,0,-2,,))-1,(AA83/OFFSET(AA83,0,-4,,))-1),"")</f>
        <v>-0.3030748646463044</v>
      </c>
      <c r="AB84" s="2">
        <f ca="1">IFERROR(IF(Inputs!$E$14 = "Semi-annual",(AB83/OFFSET(AB83,0,-2,,))-1,(AB83/OFFSET(AB83,0,-4,,))-1),"")</f>
        <v>-7.72928314279413E-2</v>
      </c>
      <c r="AC84" s="2" t="str">
        <f ca="1">IFERROR(IF(Inputs!$E$14 = "Semi-annual",(AC83/OFFSET(AC83,0,-2,,))-1,(AC83/OFFSET(AC83,0,-4,,))-1),"")</f>
        <v/>
      </c>
    </row>
    <row r="85" spans="1:29" x14ac:dyDescent="0.3">
      <c r="A85" s="85" t="s">
        <v>467</v>
      </c>
      <c r="B85" s="5">
        <f t="shared" ref="B85:R85" si="154">IFERROR((B13-B30+B16)*100/B52,"N/A")</f>
        <v>10.821509569710418</v>
      </c>
      <c r="C85" s="5">
        <f t="shared" si="154"/>
        <v>9.9613356211152322</v>
      </c>
      <c r="D85" s="5">
        <f t="shared" si="154"/>
        <v>8.165820477422157</v>
      </c>
      <c r="E85" s="5">
        <f t="shared" si="154"/>
        <v>9.7927819385125883</v>
      </c>
      <c r="F85" s="5">
        <f t="shared" si="154"/>
        <v>10.065049046989511</v>
      </c>
      <c r="G85" s="5">
        <f t="shared" si="154"/>
        <v>9.2153251599079749</v>
      </c>
      <c r="H85" s="5">
        <f t="shared" si="154"/>
        <v>7.6744760469016819</v>
      </c>
      <c r="I85" s="5">
        <f t="shared" si="154"/>
        <v>9.2196725900236327</v>
      </c>
      <c r="J85" s="5">
        <f t="shared" si="154"/>
        <v>9.9223746005942317</v>
      </c>
      <c r="K85" s="5">
        <f t="shared" si="154"/>
        <v>8.5724627376739448</v>
      </c>
      <c r="L85" s="5">
        <f t="shared" si="154"/>
        <v>7.4670358110252781</v>
      </c>
      <c r="M85" s="5">
        <f t="shared" si="154"/>
        <v>9.6052084623130618</v>
      </c>
      <c r="N85" s="5">
        <f t="shared" si="154"/>
        <v>10.372987733586925</v>
      </c>
      <c r="O85" s="5">
        <f t="shared" si="154"/>
        <v>8.9294402491786915</v>
      </c>
      <c r="P85" s="5">
        <f t="shared" si="154"/>
        <v>7.3972979546493178</v>
      </c>
      <c r="Q85" s="5">
        <f t="shared" si="154"/>
        <v>9.8048383455154298</v>
      </c>
      <c r="R85" s="5">
        <f t="shared" si="154"/>
        <v>9.9582562184544088</v>
      </c>
      <c r="S85" s="5">
        <f t="shared" ref="S85:U85" si="155">IFERROR((S13-S30+S16)*100/S52,"N/A")</f>
        <v>8.9564564284168249</v>
      </c>
      <c r="T85" s="5">
        <f t="shared" si="155"/>
        <v>8.176438233798871</v>
      </c>
      <c r="U85" s="5">
        <f t="shared" si="155"/>
        <v>9.5330453536058961</v>
      </c>
      <c r="V85" s="5">
        <f t="shared" ref="V85:Y85" si="156">IFERROR((V13-V30+V16)*100/V52,"N/A")</f>
        <v>10.521616239445683</v>
      </c>
      <c r="W85" s="5">
        <f t="shared" si="156"/>
        <v>52.465814755528569</v>
      </c>
      <c r="X85" s="5">
        <f t="shared" si="156"/>
        <v>17.086405081804347</v>
      </c>
      <c r="Y85" s="5">
        <f t="shared" si="156"/>
        <v>20.744188374246175</v>
      </c>
      <c r="Z85" s="5">
        <f t="shared" ref="Z85:AA85" si="157">IFERROR((Z13-Z30+Z16)*100/Z52,"N/A")</f>
        <v>28.586700936457571</v>
      </c>
      <c r="AA85" s="5">
        <f t="shared" si="157"/>
        <v>34.55528846153846</v>
      </c>
      <c r="AB85" s="5">
        <f t="shared" ref="AB85:AC85" si="158">IFERROR((AB13-AB30+AB16)*100/AB52,"N/A")</f>
        <v>14.39797111280606</v>
      </c>
      <c r="AC85" s="5" t="str">
        <f t="shared" si="158"/>
        <v>N/A</v>
      </c>
    </row>
    <row r="86" spans="1:29" x14ac:dyDescent="0.3">
      <c r="A86" s="85" t="s">
        <v>0</v>
      </c>
      <c r="B86" s="40"/>
      <c r="C86" s="2" t="str">
        <f ca="1">IFERROR(IF(Inputs!$E$14 = "Semi-annual",(C85/OFFSET(C85,0,-2,,))-1,(C85/OFFSET(C85,0,-4,,))-1),"")</f>
        <v/>
      </c>
      <c r="D86" s="2" t="str">
        <f ca="1">IFERROR(IF(Inputs!$E$14 = "Semi-annual",(D85/OFFSET(D85,0,-2,,))-1,(D85/OFFSET(D85,0,-4,,))-1),"")</f>
        <v/>
      </c>
      <c r="E86" s="2" t="str">
        <f ca="1">IFERROR(IF(Inputs!$E$14 = "Semi-annual",(E85/OFFSET(E85,0,-2,,))-1,(E85/OFFSET(E85,0,-4,,))-1),"")</f>
        <v/>
      </c>
      <c r="F86" s="2">
        <f ca="1">IFERROR(IF(Inputs!$E$14 = "Semi-annual",(F85/OFFSET(F85,0,-2,,))-1,(F85/OFFSET(F85,0,-4,,))-1),"")</f>
        <v>-6.9903419467303607E-2</v>
      </c>
      <c r="G86" s="2">
        <f ca="1">IFERROR(IF(Inputs!$E$14 = "Semi-annual",(G85/OFFSET(G85,0,-2,,))-1,(G85/OFFSET(G85,0,-4,,))-1),"")</f>
        <v>-7.4890605997244508E-2</v>
      </c>
      <c r="H86" s="2">
        <f ca="1">IFERROR(IF(Inputs!$E$14 = "Semi-annual",(H85/OFFSET(H85,0,-2,,))-1,(H85/OFFSET(H85,0,-4,,))-1),"")</f>
        <v>-6.0170858749467149E-2</v>
      </c>
      <c r="I86" s="2">
        <f ca="1">IFERROR(IF(Inputs!$E$14 = "Semi-annual",(I85/OFFSET(I85,0,-2,,))-1,(I85/OFFSET(I85,0,-4,,))-1),"")</f>
        <v>-5.8523650591570719E-2</v>
      </c>
      <c r="J86" s="2">
        <f ca="1">IFERROR(IF(Inputs!$E$14 = "Semi-annual",(J85/OFFSET(J85,0,-2,,))-1,(J85/OFFSET(J85,0,-4,,))-1),"")</f>
        <v>-1.4175236079744025E-2</v>
      </c>
      <c r="K86" s="2">
        <f ca="1">IFERROR(IF(Inputs!$E$14 = "Semi-annual",(K85/OFFSET(K85,0,-2,,))-1,(K85/OFFSET(K85,0,-4,,))-1),"")</f>
        <v>-6.9760145309994637E-2</v>
      </c>
      <c r="L86" s="2">
        <f ca="1">IFERROR(IF(Inputs!$E$14 = "Semi-annual",(L85/OFFSET(L85,0,-2,,))-1,(L85/OFFSET(L85,0,-4,,))-1),"")</f>
        <v>-2.7029889025473097E-2</v>
      </c>
      <c r="M86" s="2">
        <f ca="1">IFERROR(IF(Inputs!$E$14 = "Semi-annual",(M85/OFFSET(M85,0,-2,,))-1,(M85/OFFSET(M85,0,-4,,))-1),"")</f>
        <v>4.1816655475011899E-2</v>
      </c>
      <c r="N86" s="2">
        <f ca="1">IFERROR(IF(Inputs!$E$14 = "Semi-annual",(N85/OFFSET(N85,0,-2,,))-1,(N85/OFFSET(N85,0,-4,,))-1),"")</f>
        <v>4.5413840046485188E-2</v>
      </c>
      <c r="O86" s="2">
        <f ca="1">IFERROR(IF(Inputs!$E$14 = "Semi-annual",(O85/OFFSET(O85,0,-2,,))-1,(O85/OFFSET(O85,0,-4,,))-1),"")</f>
        <v>4.1642352078815614E-2</v>
      </c>
      <c r="P86" s="2">
        <f ca="1">IFERROR(IF(Inputs!$E$14 = "Semi-annual",(P85/OFFSET(P85,0,-2,,))-1,(P85/OFFSET(P85,0,-4,,))-1),"")</f>
        <v>-9.3394297470745791E-3</v>
      </c>
      <c r="Q86" s="2">
        <f ca="1">IFERROR(IF(Inputs!$E$14 = "Semi-annual",(Q85/OFFSET(Q85,0,-2,,))-1,(Q85/OFFSET(Q85,0,-4,,))-1),"")</f>
        <v>2.0783503448741802E-2</v>
      </c>
      <c r="R86" s="2">
        <f ca="1">IFERROR(IF(Inputs!$E$14 = "Semi-annual",(R85/OFFSET(R85,0,-2,,))-1,(R85/OFFSET(R85,0,-4,,))-1),"")</f>
        <v>-3.9981876560949536E-2</v>
      </c>
      <c r="S86" s="2">
        <f ca="1">IFERROR(IF(Inputs!$E$14 = "Semi-annual",(S85/OFFSET(S85,0,-2,,))-1,(S85/OFFSET(S85,0,-4,,))-1),"")</f>
        <v>3.0255176678759543E-3</v>
      </c>
      <c r="T86" s="2">
        <f ca="1">IFERROR(IF(Inputs!$E$14 = "Semi-annual",(T85/OFFSET(T85,0,-2,,))-1,(T85/OFFSET(T85,0,-4,,))-1),"")</f>
        <v>0.10532768639660528</v>
      </c>
      <c r="U86" s="2">
        <f ca="1">IFERROR(IF(Inputs!$E$14 = "Semi-annual",(U85/OFFSET(U85,0,-2,,))-1,(U85/OFFSET(U85,0,-4,,))-1),"")</f>
        <v>-2.7720293015727981E-2</v>
      </c>
      <c r="V86" s="2">
        <f ca="1">IFERROR(IF(Inputs!$E$14 = "Semi-annual",(V85/OFFSET(V85,0,-2,,))-1,(V85/OFFSET(V85,0,-4,,))-1),"")</f>
        <v>5.6572155669912139E-2</v>
      </c>
      <c r="W86" s="2">
        <f ca="1">IFERROR(IF(Inputs!$E$14 = "Semi-annual",(W85/OFFSET(W85,0,-2,,))-1,(W85/OFFSET(W85,0,-4,,))-1),"")</f>
        <v>4.8578764017727281</v>
      </c>
      <c r="X86" s="2">
        <f ca="1">IFERROR(IF(Inputs!$E$14 = "Semi-annual",(X85/OFFSET(X85,0,-2,,))-1,(X85/OFFSET(X85,0,-4,,))-1),"")</f>
        <v>1.0897124876666253</v>
      </c>
      <c r="Y86" s="2">
        <f ca="1">IFERROR(IF(Inputs!$E$14 = "Semi-annual",(Y85/OFFSET(Y85,0,-2,,))-1,(Y85/OFFSET(Y85,0,-4,,))-1),"")</f>
        <v>1.1760295482492</v>
      </c>
      <c r="Z86" s="2">
        <f ca="1">IFERROR(IF(Inputs!$E$14 = "Semi-annual",(Z85/OFFSET(Z85,0,-2,,))-1,(Z85/OFFSET(Z85,0,-4,,))-1),"")</f>
        <v>1.7169495908134</v>
      </c>
      <c r="AA86" s="2">
        <f ca="1">IFERROR(IF(Inputs!$E$14 = "Semi-annual",(AA85/OFFSET(AA85,0,-2,,))-1,(AA85/OFFSET(AA85,0,-4,,))-1),"")</f>
        <v>-0.34137516738178153</v>
      </c>
      <c r="AB86" s="2">
        <f ca="1">IFERROR(IF(Inputs!$E$14 = "Semi-annual",(AB85/OFFSET(AB85,0,-2,,))-1,(AB85/OFFSET(AB85,0,-4,,))-1),"")</f>
        <v>-0.15734345265296645</v>
      </c>
      <c r="AC86" s="2" t="str">
        <f ca="1">IFERROR(IF(Inputs!$E$14 = "Semi-annual",(AC85/OFFSET(AC85,0,-2,,))-1,(AC85/OFFSET(AC85,0,-4,,))-1),"")</f>
        <v/>
      </c>
    </row>
    <row r="87" spans="1:29" x14ac:dyDescent="0.3">
      <c r="A87" s="85" t="s">
        <v>468</v>
      </c>
      <c r="B87" s="5"/>
      <c r="C87" s="5"/>
      <c r="D87" s="5"/>
      <c r="E87" s="5"/>
      <c r="F87" s="5"/>
      <c r="G87" s="9"/>
      <c r="H87" s="5"/>
      <c r="I87" s="5"/>
      <c r="J87" s="5"/>
      <c r="K87" s="5"/>
      <c r="L87" s="5"/>
      <c r="M87" s="5"/>
      <c r="N87" s="5"/>
      <c r="O87" s="5"/>
      <c r="P87" s="5"/>
      <c r="Q87" s="5"/>
      <c r="R87" s="5"/>
      <c r="S87" s="5"/>
      <c r="T87" s="5"/>
      <c r="U87" s="5"/>
      <c r="V87" s="5"/>
      <c r="W87" s="5"/>
      <c r="X87" s="5"/>
      <c r="Y87" s="5"/>
      <c r="Z87" s="5"/>
      <c r="AA87" s="5"/>
      <c r="AB87" s="5"/>
      <c r="AC87" s="5"/>
    </row>
    <row r="88" spans="1:29" x14ac:dyDescent="0.3">
      <c r="A88" s="85" t="s">
        <v>49</v>
      </c>
      <c r="B88" s="2">
        <f>IFERROR(B83/B63,"N/A")</f>
        <v>0.76452233881533316</v>
      </c>
      <c r="C88" s="2">
        <f t="shared" ref="C88:I88" si="159">IFERROR(C83/C63,"N/A")</f>
        <v>0.76320144690036962</v>
      </c>
      <c r="D88" s="2">
        <f t="shared" si="159"/>
        <v>0.693295218100342</v>
      </c>
      <c r="E88" s="2">
        <f t="shared" si="159"/>
        <v>0.76274166797382537</v>
      </c>
      <c r="F88" s="2">
        <f t="shared" si="159"/>
        <v>0.77399785064396298</v>
      </c>
      <c r="G88" s="2">
        <f t="shared" si="159"/>
        <v>0.75826363086100756</v>
      </c>
      <c r="H88" s="2">
        <f t="shared" si="159"/>
        <v>0.68278511207354364</v>
      </c>
      <c r="I88" s="2">
        <f t="shared" si="159"/>
        <v>0.77323411092868377</v>
      </c>
      <c r="J88" s="2">
        <f>IFERROR(J83/J63,"N/A")</f>
        <v>0.8064061877323313</v>
      </c>
      <c r="K88" s="2">
        <f>IFERROR(K83/K63,"N/A")</f>
        <v>0.76601992599389179</v>
      </c>
      <c r="L88" s="2">
        <f t="shared" ref="L88:O88" si="160">IFERROR(L83/L63,"N/A")</f>
        <v>0.67226482933396703</v>
      </c>
      <c r="M88" s="2">
        <f t="shared" si="160"/>
        <v>0.77387020961670427</v>
      </c>
      <c r="N88" s="2">
        <f t="shared" si="160"/>
        <v>0.82496550203006136</v>
      </c>
      <c r="O88" s="2">
        <f t="shared" si="160"/>
        <v>0.78742953090118717</v>
      </c>
      <c r="P88" s="2">
        <f t="shared" ref="P88:R88" si="161">IFERROR(P83/P63,"N/A")</f>
        <v>0.72575600480737379</v>
      </c>
      <c r="Q88" s="2">
        <f t="shared" si="161"/>
        <v>0.78925409894798293</v>
      </c>
      <c r="R88" s="2">
        <f t="shared" si="161"/>
        <v>0.7951153726953839</v>
      </c>
      <c r="S88" s="2">
        <f t="shared" ref="S88:U88" si="162">IFERROR(S83/S63,"N/A")</f>
        <v>0.7660897549987058</v>
      </c>
      <c r="T88" s="2">
        <f t="shared" si="162"/>
        <v>0.71298832031548642</v>
      </c>
      <c r="U88" s="2">
        <f t="shared" si="162"/>
        <v>0.78288776963391993</v>
      </c>
      <c r="V88" s="2">
        <f t="shared" ref="V88:Y88" si="163">IFERROR(V83/V63,"N/A")</f>
        <v>0.83125695036914482</v>
      </c>
      <c r="W88" s="2">
        <f t="shared" si="163"/>
        <v>1.163178550007149</v>
      </c>
      <c r="X88" s="2">
        <f t="shared" si="163"/>
        <v>0.8618421710030636</v>
      </c>
      <c r="Y88" s="2">
        <f t="shared" si="163"/>
        <v>0.90428053204353087</v>
      </c>
      <c r="Z88" s="2">
        <f t="shared" ref="Z88:AA88" si="164">IFERROR(Z83/Z63,"N/A")</f>
        <v>1.0485627980020971</v>
      </c>
      <c r="AA88" s="2">
        <f t="shared" si="164"/>
        <v>0.98962604540023891</v>
      </c>
      <c r="AB88" s="2">
        <f t="shared" ref="AB88:AC88" si="165">IFERROR(AB83/AB63,"N/A")</f>
        <v>0.83934331376362725</v>
      </c>
      <c r="AC88" s="2" t="str">
        <f t="shared" si="165"/>
        <v>N/A</v>
      </c>
    </row>
    <row r="89" spans="1:29" x14ac:dyDescent="0.3">
      <c r="A89" s="8" t="s">
        <v>9</v>
      </c>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row>
    <row r="90" spans="1:29" x14ac:dyDescent="0.3">
      <c r="A90" s="85" t="s">
        <v>50</v>
      </c>
      <c r="B90" s="21">
        <f t="shared" ref="B90:R90" si="166">B38</f>
        <v>-65.410674052958427</v>
      </c>
      <c r="C90" s="21">
        <f t="shared" si="166"/>
        <v>-59.365520830792001</v>
      </c>
      <c r="D90" s="21">
        <f t="shared" si="166"/>
        <v>-65.821195955823256</v>
      </c>
      <c r="E90" s="21">
        <f t="shared" si="166"/>
        <v>-59.195540103105145</v>
      </c>
      <c r="F90" s="21">
        <f t="shared" si="166"/>
        <v>-53.125295645908992</v>
      </c>
      <c r="G90" s="21">
        <f t="shared" si="166"/>
        <v>-65.170335084139566</v>
      </c>
      <c r="H90" s="21">
        <f t="shared" si="166"/>
        <v>-65.205550910192784</v>
      </c>
      <c r="I90" s="21">
        <f t="shared" si="166"/>
        <v>-55.451479955039339</v>
      </c>
      <c r="J90" s="21">
        <f t="shared" si="166"/>
        <v>-52.881273985434987</v>
      </c>
      <c r="K90" s="21">
        <f t="shared" si="166"/>
        <v>-52.709725315515961</v>
      </c>
      <c r="L90" s="21">
        <f t="shared" si="166"/>
        <v>-51.044009506946772</v>
      </c>
      <c r="M90" s="21">
        <f t="shared" si="166"/>
        <v>-55.09882064304562</v>
      </c>
      <c r="N90" s="21">
        <f t="shared" si="166"/>
        <v>-55.375845006965243</v>
      </c>
      <c r="O90" s="21">
        <f t="shared" si="166"/>
        <v>-59.654030461100028</v>
      </c>
      <c r="P90" s="21">
        <f t="shared" si="166"/>
        <v>-55.849160891369081</v>
      </c>
      <c r="Q90" s="21">
        <f t="shared" si="166"/>
        <v>-57.54088431253787</v>
      </c>
      <c r="R90" s="21">
        <f t="shared" si="166"/>
        <v>-94.003626189880265</v>
      </c>
      <c r="S90" s="21">
        <f t="shared" ref="S90:U90" si="167">S38</f>
        <v>-91.198903313061763</v>
      </c>
      <c r="T90" s="21">
        <f t="shared" si="167"/>
        <v>-90.88447114877053</v>
      </c>
      <c r="U90" s="21">
        <f t="shared" si="167"/>
        <v>-85.605457476701119</v>
      </c>
      <c r="V90" s="21">
        <f t="shared" ref="V90:Y90" si="168">V38</f>
        <v>-90.184453293397112</v>
      </c>
      <c r="W90" s="21">
        <f t="shared" si="168"/>
        <v>-103.11493637880533</v>
      </c>
      <c r="X90" s="21">
        <f t="shared" si="168"/>
        <v>-145.74116072424434</v>
      </c>
      <c r="Y90" s="21">
        <f t="shared" si="168"/>
        <v>-147.13610089332633</v>
      </c>
      <c r="Z90" s="21">
        <f t="shared" ref="Z90:AA90" si="169">Z38</f>
        <v>-133.66814757581611</v>
      </c>
      <c r="AA90" s="21">
        <f t="shared" si="169"/>
        <v>-127.40384615384616</v>
      </c>
      <c r="AB90" s="21">
        <f t="shared" ref="AB90:AC90" si="170">AB38</f>
        <v>-153.90749601275917</v>
      </c>
      <c r="AC90" s="21" t="e">
        <f t="shared" si="170"/>
        <v>#DIV/0!</v>
      </c>
    </row>
    <row r="91" spans="1:29" x14ac:dyDescent="0.3">
      <c r="A91" s="85" t="s">
        <v>51</v>
      </c>
      <c r="B91" s="45">
        <f t="shared" ref="B91:R91" si="171">B39</f>
        <v>7.2678526725509363</v>
      </c>
      <c r="C91" s="45">
        <f t="shared" si="171"/>
        <v>9.7587157530069035</v>
      </c>
      <c r="D91" s="45">
        <f t="shared" si="171"/>
        <v>9.1843529240683619</v>
      </c>
      <c r="E91" s="45">
        <f t="shared" si="171"/>
        <v>9.7410382448147708</v>
      </c>
      <c r="F91" s="45">
        <f t="shared" si="171"/>
        <v>7.2774377597135604</v>
      </c>
      <c r="G91" s="45">
        <f t="shared" si="171"/>
        <v>10.085885191593027</v>
      </c>
      <c r="H91" s="45">
        <f t="shared" si="171"/>
        <v>9.2054895402625103</v>
      </c>
      <c r="I91" s="45">
        <f t="shared" si="171"/>
        <v>9.7414762083177227</v>
      </c>
      <c r="J91" s="45">
        <f t="shared" si="171"/>
        <v>9.0653612546459978</v>
      </c>
      <c r="K91" s="45">
        <f t="shared" si="171"/>
        <v>10.393466963622865</v>
      </c>
      <c r="L91" s="45">
        <f t="shared" si="171"/>
        <v>12.761002376736693</v>
      </c>
      <c r="M91" s="45">
        <f t="shared" si="171"/>
        <v>14.168268165354588</v>
      </c>
      <c r="N91" s="45">
        <f t="shared" si="171"/>
        <v>15.821670001990068</v>
      </c>
      <c r="O91" s="45">
        <f t="shared" si="171"/>
        <v>18.593464039823385</v>
      </c>
      <c r="P91" s="45">
        <f t="shared" si="171"/>
        <v>24.481823952380967</v>
      </c>
      <c r="Q91" s="45">
        <f t="shared" si="171"/>
        <v>24.227740763173838</v>
      </c>
      <c r="R91" s="45">
        <f t="shared" si="171"/>
        <v>28.5771023617236</v>
      </c>
      <c r="S91" s="45">
        <f t="shared" ref="S91:U91" si="172">S39</f>
        <v>30.648811769143705</v>
      </c>
      <c r="T91" s="45">
        <f t="shared" si="172"/>
        <v>33.324306087882526</v>
      </c>
      <c r="U91" s="45">
        <f t="shared" si="172"/>
        <v>31.060387226059696</v>
      </c>
      <c r="V91" s="45">
        <f t="shared" ref="V91:Y91" si="173">V39</f>
        <v>31.303694531592388</v>
      </c>
      <c r="W91" s="45">
        <f t="shared" si="173"/>
        <v>23.074671077774621</v>
      </c>
      <c r="X91" s="45">
        <f t="shared" si="173"/>
        <v>23.794475220284788</v>
      </c>
      <c r="Y91" s="45">
        <f t="shared" si="173"/>
        <v>19.518054200135126</v>
      </c>
      <c r="Z91" s="45">
        <f t="shared" ref="Z91:AA91" si="174">Z39</f>
        <v>16.225613289549933</v>
      </c>
      <c r="AA91" s="45">
        <f t="shared" si="174"/>
        <v>12.820512820512821</v>
      </c>
      <c r="AB91" s="45">
        <f t="shared" ref="AB91:AC91" si="175">AB39</f>
        <v>13.556618819776714</v>
      </c>
      <c r="AC91" s="45" t="e">
        <f t="shared" si="175"/>
        <v>#DIV/0!</v>
      </c>
    </row>
    <row r="92" spans="1:29" s="44" customFormat="1" x14ac:dyDescent="0.3">
      <c r="A92" s="42" t="s">
        <v>52</v>
      </c>
      <c r="B92" s="43">
        <f>B90+B91</f>
        <v>-58.14282138040749</v>
      </c>
      <c r="C92" s="43">
        <f>C90+C91</f>
        <v>-49.606805077785097</v>
      </c>
      <c r="D92" s="43">
        <f>D90+D91</f>
        <v>-56.636843031754893</v>
      </c>
      <c r="E92" s="43">
        <f t="shared" ref="E92:J92" si="176">E90+E91</f>
        <v>-49.454501858290371</v>
      </c>
      <c r="F92" s="43">
        <f t="shared" si="176"/>
        <v>-45.847857886195428</v>
      </c>
      <c r="G92" s="43">
        <f t="shared" si="176"/>
        <v>-55.084449892546537</v>
      </c>
      <c r="H92" s="43">
        <f t="shared" si="176"/>
        <v>-56.000061369930272</v>
      </c>
      <c r="I92" s="43">
        <f t="shared" si="176"/>
        <v>-45.710003746721618</v>
      </c>
      <c r="J92" s="43">
        <f t="shared" si="176"/>
        <v>-43.815912730788988</v>
      </c>
      <c r="K92" s="43">
        <f>K90+K91</f>
        <v>-42.316258351893097</v>
      </c>
      <c r="L92" s="43">
        <f t="shared" ref="L92:O92" si="177">L90+L91</f>
        <v>-38.283007130210081</v>
      </c>
      <c r="M92" s="43">
        <f t="shared" si="177"/>
        <v>-40.93055247769103</v>
      </c>
      <c r="N92" s="43">
        <f t="shared" si="177"/>
        <v>-39.554175004975178</v>
      </c>
      <c r="O92" s="43">
        <f t="shared" si="177"/>
        <v>-41.060566421276647</v>
      </c>
      <c r="P92" s="43">
        <f t="shared" ref="P92:R92" si="178">P90+P91</f>
        <v>-31.367336938988114</v>
      </c>
      <c r="Q92" s="43">
        <f t="shared" si="178"/>
        <v>-33.313143549364028</v>
      </c>
      <c r="R92" s="43">
        <f t="shared" si="178"/>
        <v>-65.426523828156661</v>
      </c>
      <c r="S92" s="43">
        <f t="shared" ref="S92:U92" si="179">S90+S91</f>
        <v>-60.550091543918057</v>
      </c>
      <c r="T92" s="43">
        <f t="shared" si="179"/>
        <v>-57.560165060888004</v>
      </c>
      <c r="U92" s="43">
        <f t="shared" si="179"/>
        <v>-54.545070250641423</v>
      </c>
      <c r="V92" s="43">
        <f t="shared" ref="V92:Y92" si="180">V90+V91</f>
        <v>-58.880758761804728</v>
      </c>
      <c r="W92" s="43">
        <f t="shared" si="180"/>
        <v>-80.040265301030701</v>
      </c>
      <c r="X92" s="43">
        <f t="shared" si="180"/>
        <v>-121.94668550395954</v>
      </c>
      <c r="Y92" s="43">
        <f t="shared" si="180"/>
        <v>-127.6180466931912</v>
      </c>
      <c r="Z92" s="43">
        <f t="shared" ref="Z92:AA92" si="181">Z90+Z91</f>
        <v>-117.44253428626618</v>
      </c>
      <c r="AA92" s="43">
        <f t="shared" si="181"/>
        <v>-114.58333333333334</v>
      </c>
      <c r="AB92" s="43">
        <f t="shared" ref="AB92:AC92" si="182">AB90+AB91</f>
        <v>-140.35087719298247</v>
      </c>
      <c r="AC92" s="43" t="e">
        <f t="shared" si="182"/>
        <v>#DIV/0!</v>
      </c>
    </row>
    <row r="93" spans="1:29" x14ac:dyDescent="0.3">
      <c r="A93" s="85" t="s">
        <v>53</v>
      </c>
      <c r="B93" s="21">
        <f t="shared" ref="B93:R93" si="183">B27</f>
        <v>-66.218213238797418</v>
      </c>
      <c r="C93" s="21">
        <f t="shared" si="183"/>
        <v>-68.311010271048332</v>
      </c>
      <c r="D93" s="21">
        <f t="shared" si="183"/>
        <v>-68.117284186840351</v>
      </c>
      <c r="E93" s="21">
        <f t="shared" si="183"/>
        <v>-73.432442153219043</v>
      </c>
      <c r="F93" s="21">
        <f t="shared" si="183"/>
        <v>-81.507302908791871</v>
      </c>
      <c r="G93" s="21">
        <f t="shared" si="183"/>
        <v>-86.893780112186079</v>
      </c>
      <c r="H93" s="21">
        <f t="shared" si="183"/>
        <v>-90.520647145914694</v>
      </c>
      <c r="I93" s="21">
        <f t="shared" si="183"/>
        <v>-89.92131884600974</v>
      </c>
      <c r="J93" s="21">
        <f t="shared" si="183"/>
        <v>-92.164506088900978</v>
      </c>
      <c r="K93" s="21">
        <f t="shared" si="183"/>
        <v>-96.510764662212324</v>
      </c>
      <c r="L93" s="21">
        <f t="shared" si="183"/>
        <v>-99.695331068255413</v>
      </c>
      <c r="M93" s="21">
        <f t="shared" si="183"/>
        <v>-99.177877157482115</v>
      </c>
      <c r="N93" s="21">
        <f t="shared" si="183"/>
        <v>-98.885437512437932</v>
      </c>
      <c r="O93" s="21">
        <f t="shared" si="183"/>
        <v>-95.291503204094838</v>
      </c>
      <c r="P93" s="21">
        <f t="shared" si="183"/>
        <v>-104.81280879613101</v>
      </c>
      <c r="Q93" s="21">
        <f t="shared" si="183"/>
        <v>-100.69654754694126</v>
      </c>
      <c r="R93" s="21">
        <f t="shared" si="183"/>
        <v>0</v>
      </c>
      <c r="S93" s="21">
        <f t="shared" ref="S93:U93" si="184">S27</f>
        <v>0</v>
      </c>
      <c r="T93" s="21">
        <f t="shared" si="184"/>
        <v>0</v>
      </c>
      <c r="U93" s="21">
        <f t="shared" si="184"/>
        <v>0</v>
      </c>
      <c r="V93" s="21">
        <f t="shared" ref="V93:Y93" si="185">V27</f>
        <v>0</v>
      </c>
      <c r="W93" s="21">
        <f t="shared" si="185"/>
        <v>0</v>
      </c>
      <c r="X93" s="21">
        <f t="shared" si="185"/>
        <v>0</v>
      </c>
      <c r="Y93" s="21">
        <f t="shared" si="185"/>
        <v>0</v>
      </c>
      <c r="Z93" s="21">
        <f t="shared" ref="Z93:AA93" si="186">Z27</f>
        <v>0</v>
      </c>
      <c r="AA93" s="21">
        <f t="shared" si="186"/>
        <v>0</v>
      </c>
      <c r="AB93" s="21">
        <f t="shared" ref="AB93:AC93" si="187">AB27</f>
        <v>0</v>
      </c>
      <c r="AC93" s="21" t="e">
        <f t="shared" si="187"/>
        <v>#DIV/0!</v>
      </c>
    </row>
    <row r="94" spans="1:29" x14ac:dyDescent="0.3">
      <c r="A94" s="85" t="s">
        <v>54</v>
      </c>
      <c r="B94" s="21">
        <f t="shared" ref="B94:R94" si="188">B21</f>
        <v>0</v>
      </c>
      <c r="C94" s="21">
        <f t="shared" si="188"/>
        <v>0</v>
      </c>
      <c r="D94" s="21">
        <f t="shared" si="188"/>
        <v>0</v>
      </c>
      <c r="E94" s="21">
        <f t="shared" si="188"/>
        <v>0</v>
      </c>
      <c r="F94" s="21">
        <f t="shared" si="188"/>
        <v>0</v>
      </c>
      <c r="G94" s="21">
        <f t="shared" si="188"/>
        <v>0</v>
      </c>
      <c r="H94" s="21">
        <f t="shared" si="188"/>
        <v>0</v>
      </c>
      <c r="I94" s="21">
        <f t="shared" si="188"/>
        <v>0</v>
      </c>
      <c r="J94" s="21">
        <f t="shared" si="188"/>
        <v>0</v>
      </c>
      <c r="K94" s="21">
        <f t="shared" si="188"/>
        <v>0</v>
      </c>
      <c r="L94" s="21">
        <f t="shared" si="188"/>
        <v>0</v>
      </c>
      <c r="M94" s="21">
        <f t="shared" si="188"/>
        <v>0</v>
      </c>
      <c r="N94" s="21">
        <f t="shared" si="188"/>
        <v>0</v>
      </c>
      <c r="O94" s="21">
        <f t="shared" si="188"/>
        <v>0</v>
      </c>
      <c r="P94" s="21">
        <f t="shared" si="188"/>
        <v>0</v>
      </c>
      <c r="Q94" s="21">
        <f t="shared" si="188"/>
        <v>0</v>
      </c>
      <c r="R94" s="21">
        <f t="shared" si="188"/>
        <v>0</v>
      </c>
      <c r="S94" s="21">
        <f t="shared" ref="S94:U94" si="189">S21</f>
        <v>0</v>
      </c>
      <c r="T94" s="21">
        <f t="shared" si="189"/>
        <v>0</v>
      </c>
      <c r="U94" s="21">
        <f t="shared" si="189"/>
        <v>0</v>
      </c>
      <c r="V94" s="21">
        <f t="shared" ref="V94:Y94" si="190">V21</f>
        <v>0</v>
      </c>
      <c r="W94" s="21">
        <f t="shared" si="190"/>
        <v>0</v>
      </c>
      <c r="X94" s="21">
        <f t="shared" si="190"/>
        <v>0</v>
      </c>
      <c r="Y94" s="21">
        <f t="shared" si="190"/>
        <v>0</v>
      </c>
      <c r="Z94" s="21">
        <f t="shared" ref="Z94:AA94" si="191">Z21</f>
        <v>0</v>
      </c>
      <c r="AA94" s="21">
        <f t="shared" si="191"/>
        <v>0</v>
      </c>
      <c r="AB94" s="21">
        <f t="shared" ref="AB94:AC94" si="192">AB21</f>
        <v>0</v>
      </c>
      <c r="AC94" s="21" t="e">
        <f t="shared" si="192"/>
        <v>#DIV/0!</v>
      </c>
    </row>
    <row r="95" spans="1:29" x14ac:dyDescent="0.3">
      <c r="A95" s="14" t="s">
        <v>55</v>
      </c>
      <c r="B95" s="43">
        <f>SUM(B92:B94)</f>
        <v>-124.3610346192049</v>
      </c>
      <c r="C95" s="43">
        <f>SUM(C92:C94)</f>
        <v>-117.91781534883343</v>
      </c>
      <c r="D95" s="43">
        <f>SUM(D92:D94)</f>
        <v>-124.75412721859524</v>
      </c>
      <c r="E95" s="43">
        <f t="shared" ref="E95:J95" si="193">SUM(E92:E94)</f>
        <v>-122.88694401150941</v>
      </c>
      <c r="F95" s="43">
        <f t="shared" si="193"/>
        <v>-127.3551607949873</v>
      </c>
      <c r="G95" s="43">
        <f t="shared" si="193"/>
        <v>-141.97823000473261</v>
      </c>
      <c r="H95" s="43">
        <f t="shared" si="193"/>
        <v>-146.52070851584497</v>
      </c>
      <c r="I95" s="43">
        <f t="shared" si="193"/>
        <v>-135.63132259273135</v>
      </c>
      <c r="J95" s="43">
        <f t="shared" si="193"/>
        <v>-135.98041881968996</v>
      </c>
      <c r="K95" s="43">
        <f>SUM(K92:K94)</f>
        <v>-138.82702301410541</v>
      </c>
      <c r="L95" s="43">
        <f t="shared" ref="L95:O95" si="194">SUM(L92:L94)</f>
        <v>-137.97833819846551</v>
      </c>
      <c r="M95" s="43">
        <f t="shared" si="194"/>
        <v>-140.10842963517314</v>
      </c>
      <c r="N95" s="43">
        <f t="shared" si="194"/>
        <v>-138.43961251741311</v>
      </c>
      <c r="O95" s="43">
        <f t="shared" si="194"/>
        <v>-136.35206962537148</v>
      </c>
      <c r="P95" s="43">
        <f t="shared" ref="P95:R95" si="195">SUM(P92:P94)</f>
        <v>-136.18014573511911</v>
      </c>
      <c r="Q95" s="43">
        <f t="shared" si="195"/>
        <v>-134.00969109630529</v>
      </c>
      <c r="R95" s="43">
        <f t="shared" si="195"/>
        <v>-65.426523828156661</v>
      </c>
      <c r="S95" s="43">
        <f t="shared" ref="S95:U95" si="196">SUM(S92:S94)</f>
        <v>-60.550091543918057</v>
      </c>
      <c r="T95" s="43">
        <f t="shared" si="196"/>
        <v>-57.560165060888004</v>
      </c>
      <c r="U95" s="43">
        <f t="shared" si="196"/>
        <v>-54.545070250641423</v>
      </c>
      <c r="V95" s="43">
        <f t="shared" ref="V95:Y95" si="197">SUM(V92:V94)</f>
        <v>-58.880758761804728</v>
      </c>
      <c r="W95" s="43">
        <f t="shared" si="197"/>
        <v>-80.040265301030701</v>
      </c>
      <c r="X95" s="43">
        <f t="shared" si="197"/>
        <v>-121.94668550395954</v>
      </c>
      <c r="Y95" s="43">
        <f t="shared" si="197"/>
        <v>-127.6180466931912</v>
      </c>
      <c r="Z95" s="43">
        <f t="shared" ref="Z95:AA95" si="198">SUM(Z92:Z94)</f>
        <v>-117.44253428626618</v>
      </c>
      <c r="AA95" s="43">
        <f t="shared" si="198"/>
        <v>-114.58333333333334</v>
      </c>
      <c r="AB95" s="43">
        <f t="shared" ref="AB95:AC95" si="199">SUM(AB92:AB94)</f>
        <v>-140.35087719298247</v>
      </c>
      <c r="AC95" s="43" t="e">
        <f t="shared" si="199"/>
        <v>#DIV/0!</v>
      </c>
    </row>
    <row r="96" spans="1:29" x14ac:dyDescent="0.3">
      <c r="A96" s="8" t="s">
        <v>7</v>
      </c>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row>
    <row r="97" spans="1:29" x14ac:dyDescent="0.3">
      <c r="A97" s="85" t="s">
        <v>56</v>
      </c>
      <c r="B97" s="47"/>
      <c r="C97" s="47"/>
      <c r="D97" s="47"/>
      <c r="E97" s="46"/>
      <c r="F97" s="46"/>
      <c r="G97" s="46"/>
      <c r="H97" s="46"/>
      <c r="I97" s="46"/>
      <c r="J97" s="46"/>
      <c r="K97" s="46"/>
      <c r="L97" s="46"/>
      <c r="M97" s="46"/>
      <c r="N97" s="46"/>
      <c r="O97" s="46"/>
      <c r="P97" s="46"/>
      <c r="Q97" s="46"/>
      <c r="R97" s="46"/>
      <c r="S97" s="46"/>
      <c r="T97" s="46"/>
      <c r="U97" s="46"/>
      <c r="V97" s="46"/>
      <c r="W97" s="46"/>
      <c r="X97" s="46"/>
      <c r="Y97" s="46"/>
      <c r="Z97" s="46"/>
      <c r="AA97" s="46"/>
      <c r="AB97" s="46"/>
      <c r="AC97" s="46"/>
    </row>
    <row r="98" spans="1:29" x14ac:dyDescent="0.3">
      <c r="A98" s="85" t="s">
        <v>57</v>
      </c>
      <c r="B98" s="46">
        <f t="shared" ref="B98:R98" si="200">IFERROR(B26/-B95, "N/A")</f>
        <v>2.8246753246753245</v>
      </c>
      <c r="C98" s="46">
        <f t="shared" si="200"/>
        <v>3.8689655172413793</v>
      </c>
      <c r="D98" s="46">
        <f t="shared" si="200"/>
        <v>6.5582822085889578</v>
      </c>
      <c r="E98" s="46">
        <f t="shared" si="200"/>
        <v>2.7256097560975618</v>
      </c>
      <c r="F98" s="46">
        <f t="shared" si="200"/>
        <v>2.56</v>
      </c>
      <c r="G98" s="46">
        <f t="shared" si="200"/>
        <v>3.2295081967213148</v>
      </c>
      <c r="H98" s="46">
        <f t="shared" si="200"/>
        <v>6.460732984293192</v>
      </c>
      <c r="I98" s="46">
        <f t="shared" si="200"/>
        <v>2.4364640883977855</v>
      </c>
      <c r="J98" s="46">
        <f t="shared" si="200"/>
        <v>1.8111111111111098</v>
      </c>
      <c r="K98" s="46">
        <f t="shared" si="200"/>
        <v>3.4919786096256678</v>
      </c>
      <c r="L98" s="46">
        <f t="shared" si="200"/>
        <v>8.0809248554913236</v>
      </c>
      <c r="M98" s="46">
        <f t="shared" si="200"/>
        <v>2.8314606741573014</v>
      </c>
      <c r="N98" s="46">
        <f t="shared" si="200"/>
        <v>2.1599999999999957</v>
      </c>
      <c r="O98" s="46">
        <f t="shared" si="200"/>
        <v>3.5625000000000027</v>
      </c>
      <c r="P98" s="46">
        <f t="shared" si="200"/>
        <v>6.9943820224719051</v>
      </c>
      <c r="Q98" s="46">
        <f t="shared" si="200"/>
        <v>2.9491525423728797</v>
      </c>
      <c r="R98" s="46">
        <f t="shared" si="200"/>
        <v>6.7011494252873698</v>
      </c>
      <c r="S98" s="46">
        <f t="shared" ref="S98:U98" si="201">IFERROR(S26/-S95, "N/A")</f>
        <v>11.308641975308626</v>
      </c>
      <c r="T98" s="46">
        <f t="shared" si="201"/>
        <v>19.368421052631572</v>
      </c>
      <c r="U98" s="46">
        <f t="shared" si="201"/>
        <v>9.2361111111111143</v>
      </c>
      <c r="V98" s="46">
        <f t="shared" ref="V98:Y98" si="202">IFERROR(V26/-V95, "N/A")</f>
        <v>0.89873417721518511</v>
      </c>
      <c r="W98" s="46">
        <f t="shared" si="202"/>
        <v>-6.6846846846846866</v>
      </c>
      <c r="X98" s="46">
        <f t="shared" si="202"/>
        <v>-2.2256097560975601</v>
      </c>
      <c r="Y98" s="46">
        <f t="shared" si="202"/>
        <v>-3.4117647058823528</v>
      </c>
      <c r="Z98" s="46">
        <f t="shared" ref="Z98:AA98" si="203">IFERROR(Z26/-Z95, "N/A")</f>
        <v>-4.0526315789473681</v>
      </c>
      <c r="AA98" s="46">
        <f t="shared" si="203"/>
        <v>-5.0559440559440558</v>
      </c>
      <c r="AB98" s="46">
        <f t="shared" ref="AB98:AC98" si="204">IFERROR(AB26/-AB95, "N/A")</f>
        <v>0.13636363636363538</v>
      </c>
      <c r="AC98" s="46" t="str">
        <f t="shared" si="204"/>
        <v>N/A</v>
      </c>
    </row>
    <row r="99" spans="1:29" x14ac:dyDescent="0.3">
      <c r="A99" s="85" t="s">
        <v>58</v>
      </c>
      <c r="B99" s="46">
        <f t="shared" ref="B99:R99" si="205">IFERROR(B28/-B92, "N/A")</f>
        <v>4.9027777777777768</v>
      </c>
      <c r="C99" s="46">
        <f t="shared" si="205"/>
        <v>7.8196721311475414</v>
      </c>
      <c r="D99" s="46">
        <f t="shared" si="205"/>
        <v>13.243243243243246</v>
      </c>
      <c r="E99" s="46">
        <f t="shared" si="205"/>
        <v>5.2878787878787907</v>
      </c>
      <c r="F99" s="46">
        <f t="shared" si="205"/>
        <v>5.333333333333333</v>
      </c>
      <c r="G99" s="46">
        <f t="shared" si="205"/>
        <v>6.7464788732394458</v>
      </c>
      <c r="H99" s="46">
        <f t="shared" si="205"/>
        <v>15.287671232876708</v>
      </c>
      <c r="I99" s="46">
        <f t="shared" si="205"/>
        <v>5.2622950819671992</v>
      </c>
      <c r="J99" s="46">
        <f t="shared" si="205"/>
        <v>3.5172413793103408</v>
      </c>
      <c r="K99" s="46">
        <f t="shared" si="205"/>
        <v>9.1754385964912242</v>
      </c>
      <c r="L99" s="46">
        <f t="shared" si="205"/>
        <v>26.520833333333318</v>
      </c>
      <c r="M99" s="46">
        <f t="shared" si="205"/>
        <v>7.2692307692307629</v>
      </c>
      <c r="N99" s="46">
        <f t="shared" si="205"/>
        <v>5.0599999999999854</v>
      </c>
      <c r="O99" s="46">
        <f t="shared" si="205"/>
        <v>9.5094339622641595</v>
      </c>
      <c r="P99" s="46">
        <f t="shared" si="205"/>
        <v>27.024390243902413</v>
      </c>
      <c r="Q99" s="46">
        <f t="shared" si="205"/>
        <v>8.8409090909090846</v>
      </c>
      <c r="R99" s="46">
        <f t="shared" si="205"/>
        <v>6.7011494252873698</v>
      </c>
      <c r="S99" s="46">
        <f t="shared" ref="S99:U99" si="206">IFERROR(S28/-S92, "N/A")</f>
        <v>11.308641975308626</v>
      </c>
      <c r="T99" s="46">
        <f t="shared" si="206"/>
        <v>19.368421052631572</v>
      </c>
      <c r="U99" s="46">
        <f t="shared" si="206"/>
        <v>9.2361111111111143</v>
      </c>
      <c r="V99" s="46">
        <f t="shared" ref="V99:Y99" si="207">IFERROR(V28/-V92, "N/A")</f>
        <v>0.89873417721518511</v>
      </c>
      <c r="W99" s="46">
        <f t="shared" si="207"/>
        <v>-6.6846846846846866</v>
      </c>
      <c r="X99" s="46">
        <f t="shared" si="207"/>
        <v>-2.2256097560975601</v>
      </c>
      <c r="Y99" s="46">
        <f t="shared" si="207"/>
        <v>-3.4117647058823528</v>
      </c>
      <c r="Z99" s="46">
        <f t="shared" ref="Z99:AA99" si="208">IFERROR(Z28/-Z92, "N/A")</f>
        <v>-4.0526315789473681</v>
      </c>
      <c r="AA99" s="46">
        <f t="shared" si="208"/>
        <v>-5.0559440559440558</v>
      </c>
      <c r="AB99" s="46">
        <f t="shared" ref="AB99:AC99" si="209">IFERROR(AB28/-AB92, "N/A")</f>
        <v>0.13636363636363538</v>
      </c>
      <c r="AC99" s="46" t="str">
        <f t="shared" si="209"/>
        <v>N/A</v>
      </c>
    </row>
    <row r="100" spans="1:29" x14ac:dyDescent="0.3">
      <c r="A100" s="8" t="s">
        <v>4</v>
      </c>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row>
    <row r="101" spans="1:29" x14ac:dyDescent="0.3">
      <c r="A101" s="85" t="s">
        <v>59</v>
      </c>
      <c r="B101" s="2">
        <f t="shared" ref="B101:R101" si="210">IFERROR(B30/B13,"N/A")</f>
        <v>6.1557402277623866E-2</v>
      </c>
      <c r="C101" s="2">
        <f t="shared" si="210"/>
        <v>8.7873462214411252E-2</v>
      </c>
      <c r="D101" s="2">
        <f t="shared" si="210"/>
        <v>0.20258513547104151</v>
      </c>
      <c r="E101" s="2">
        <f t="shared" si="210"/>
        <v>5.9396605908233868E-2</v>
      </c>
      <c r="F101" s="2">
        <f t="shared" si="210"/>
        <v>4.6066407418486388E-2</v>
      </c>
      <c r="G101" s="2">
        <f t="shared" si="210"/>
        <v>8.0104106419896071E-2</v>
      </c>
      <c r="H101" s="2">
        <f t="shared" si="210"/>
        <v>0.2013030779600089</v>
      </c>
      <c r="I101" s="2">
        <f t="shared" si="210"/>
        <v>3.1824817518247929E-2</v>
      </c>
      <c r="J101" s="2">
        <f t="shared" si="210"/>
        <v>-6.589785831960529E-3</v>
      </c>
      <c r="K101" s="2">
        <f t="shared" si="210"/>
        <v>7.1867007672634223E-2</v>
      </c>
      <c r="L101" s="2">
        <f t="shared" si="210"/>
        <v>0.21147540983606541</v>
      </c>
      <c r="M101" s="2">
        <f t="shared" si="210"/>
        <v>3.4816753926701478E-2</v>
      </c>
      <c r="N101" s="2">
        <f t="shared" si="210"/>
        <v>-3.4389584868584344E-3</v>
      </c>
      <c r="O101" s="2">
        <f t="shared" si="210"/>
        <v>5.2157858296792169E-2</v>
      </c>
      <c r="P101" s="2">
        <f t="shared" si="210"/>
        <v>0.15512465373961201</v>
      </c>
      <c r="Q101" s="2">
        <f t="shared" si="210"/>
        <v>2.8732925105982025E-2</v>
      </c>
      <c r="R101" s="2">
        <f t="shared" si="210"/>
        <v>2.8520098809791412E-2</v>
      </c>
      <c r="S101" s="2">
        <f t="shared" ref="S101:U101" si="211">IFERROR(S30/S13,"N/A")</f>
        <v>8.8711372713895079E-2</v>
      </c>
      <c r="T101" s="2">
        <f t="shared" si="211"/>
        <v>0.1721591932288852</v>
      </c>
      <c r="U101" s="2">
        <f t="shared" si="211"/>
        <v>3.3195970695970765E-2</v>
      </c>
      <c r="V101" s="2">
        <f t="shared" ref="V101:Y101" si="212">IFERROR(V30/V13,"N/A")</f>
        <v>-0.11633530360021506</v>
      </c>
      <c r="W101" s="2">
        <f t="shared" si="212"/>
        <v>-2.3320683111954463</v>
      </c>
      <c r="X101" s="2">
        <f t="shared" si="212"/>
        <v>-1.0369881109643324</v>
      </c>
      <c r="Y101" s="2">
        <f t="shared" si="212"/>
        <v>-1.230955259975816</v>
      </c>
      <c r="Z101" s="2">
        <f t="shared" ref="Z101:AA101" si="213">IFERROR(Z30/Z13,"N/A")</f>
        <v>-1.4115226337448559</v>
      </c>
      <c r="AA101" s="2">
        <f t="shared" si="213"/>
        <v>-1.3464755077658304</v>
      </c>
      <c r="AB101" s="2">
        <f t="shared" ref="AB101:AC101" si="214">IFERROR(AB30/AB13,"N/A")</f>
        <v>-0.17879220161673806</v>
      </c>
      <c r="AC101" s="2" t="str">
        <f t="shared" si="214"/>
        <v>N/A</v>
      </c>
    </row>
    <row r="102" spans="1:29" x14ac:dyDescent="0.3">
      <c r="A102" s="85" t="s">
        <v>60</v>
      </c>
      <c r="B102" s="46">
        <f t="shared" ref="B102:R102" si="215">IFERROR(B30/-B90,"N/A")</f>
        <v>2.4691358024691348</v>
      </c>
      <c r="C102" s="46">
        <f t="shared" si="215"/>
        <v>4.1095890410958908</v>
      </c>
      <c r="D102" s="46">
        <f t="shared" si="215"/>
        <v>9.4767441860465116</v>
      </c>
      <c r="E102" s="46">
        <f t="shared" si="215"/>
        <v>2.3924050632911413</v>
      </c>
      <c r="F102" s="46">
        <f t="shared" si="215"/>
        <v>2.1095890410958904</v>
      </c>
      <c r="G102" s="46">
        <f t="shared" si="215"/>
        <v>3.297619047619055</v>
      </c>
      <c r="H102" s="46">
        <f t="shared" si="215"/>
        <v>10.541176470588232</v>
      </c>
      <c r="I102" s="46">
        <f t="shared" si="215"/>
        <v>1.4729729729729615</v>
      </c>
      <c r="J102" s="46">
        <f t="shared" si="215"/>
        <v>-0.34285714285714641</v>
      </c>
      <c r="K102" s="46">
        <f t="shared" si="215"/>
        <v>3.9577464788732368</v>
      </c>
      <c r="L102" s="46">
        <f t="shared" si="215"/>
        <v>16.124999999999986</v>
      </c>
      <c r="M102" s="46">
        <f t="shared" si="215"/>
        <v>1.8999999999999948</v>
      </c>
      <c r="N102" s="46">
        <f t="shared" si="215"/>
        <v>-0.20000000000000978</v>
      </c>
      <c r="O102" s="46">
        <f t="shared" si="215"/>
        <v>2.9350649350649416</v>
      </c>
      <c r="P102" s="46">
        <f t="shared" si="215"/>
        <v>11.506849315068479</v>
      </c>
      <c r="Q102" s="46">
        <f t="shared" si="215"/>
        <v>1.6052631578947327</v>
      </c>
      <c r="R102" s="46">
        <f t="shared" si="215"/>
        <v>1.0160000000000091</v>
      </c>
      <c r="S102" s="46">
        <f t="shared" ref="S102:U102" si="216">IFERROR(S30/-S90,"N/A")</f>
        <v>3.4590163934426132</v>
      </c>
      <c r="T102" s="46">
        <f t="shared" si="216"/>
        <v>7.9666666666666623</v>
      </c>
      <c r="U102" s="46">
        <f t="shared" si="216"/>
        <v>1.2831858407079673</v>
      </c>
      <c r="V102" s="46">
        <f t="shared" ref="V102:Y102" si="217">IFERROR(V30/-V90,"N/A")</f>
        <v>-3.5785123966942183</v>
      </c>
      <c r="W102" s="46">
        <f t="shared" si="217"/>
        <v>-8.594405594405595</v>
      </c>
      <c r="X102" s="46">
        <f t="shared" si="217"/>
        <v>-4.0051020408163254</v>
      </c>
      <c r="Y102" s="46">
        <f t="shared" si="217"/>
        <v>-5.1938775510204076</v>
      </c>
      <c r="Z102" s="46">
        <f t="shared" ref="Z102:AA102" si="218">IFERROR(Z30/-Z90,"N/A")</f>
        <v>-5.9479768786127165</v>
      </c>
      <c r="AA102" s="46">
        <f t="shared" si="218"/>
        <v>-7.0880503144654083</v>
      </c>
      <c r="AB102" s="46">
        <f t="shared" ref="AB102:AC102" si="219">IFERROR(AB30/-AB90,"N/A")</f>
        <v>-1.94818652849741</v>
      </c>
      <c r="AC102" s="46" t="str">
        <f t="shared" si="219"/>
        <v>N/A</v>
      </c>
    </row>
    <row r="103" spans="1:29" x14ac:dyDescent="0.3">
      <c r="A103" s="85" t="s">
        <v>61</v>
      </c>
      <c r="B103" s="46">
        <f t="shared" ref="B103:R103" si="220">IFERROR(B30/-B92,"N/A")</f>
        <v>2.7777777777777768</v>
      </c>
      <c r="C103" s="46">
        <f t="shared" si="220"/>
        <v>4.918032786885246</v>
      </c>
      <c r="D103" s="46">
        <f t="shared" si="220"/>
        <v>11.013513513513514</v>
      </c>
      <c r="E103" s="46">
        <f t="shared" si="220"/>
        <v>2.8636363636363664</v>
      </c>
      <c r="F103" s="46">
        <f t="shared" si="220"/>
        <v>2.4444444444444446</v>
      </c>
      <c r="G103" s="46">
        <f t="shared" si="220"/>
        <v>3.9014084507042344</v>
      </c>
      <c r="H103" s="46">
        <f t="shared" si="220"/>
        <v>12.273972602739722</v>
      </c>
      <c r="I103" s="46">
        <f t="shared" si="220"/>
        <v>1.7868852459016253</v>
      </c>
      <c r="J103" s="46">
        <f t="shared" si="220"/>
        <v>-0.41379310344828019</v>
      </c>
      <c r="K103" s="46">
        <f t="shared" si="220"/>
        <v>4.929824561403505</v>
      </c>
      <c r="L103" s="46">
        <f t="shared" si="220"/>
        <v>21.499999999999982</v>
      </c>
      <c r="M103" s="46">
        <f t="shared" si="220"/>
        <v>2.5576923076923008</v>
      </c>
      <c r="N103" s="46">
        <f t="shared" si="220"/>
        <v>-0.28000000000001363</v>
      </c>
      <c r="O103" s="46">
        <f t="shared" si="220"/>
        <v>4.2641509433962348</v>
      </c>
      <c r="P103" s="46">
        <f t="shared" si="220"/>
        <v>20.487804878048756</v>
      </c>
      <c r="Q103" s="46">
        <f t="shared" si="220"/>
        <v>2.7727272727272658</v>
      </c>
      <c r="R103" s="46">
        <f t="shared" si="220"/>
        <v>1.4597701149425422</v>
      </c>
      <c r="S103" s="46">
        <f t="shared" ref="S103:U103" si="221">IFERROR(S30/-S92,"N/A")</f>
        <v>5.2098765432098615</v>
      </c>
      <c r="T103" s="46">
        <f t="shared" si="221"/>
        <v>12.578947368421046</v>
      </c>
      <c r="U103" s="46">
        <f t="shared" si="221"/>
        <v>2.0138888888888928</v>
      </c>
      <c r="V103" s="46">
        <f t="shared" ref="V103:Y103" si="222">IFERROR(V30/-V92,"N/A")</f>
        <v>-5.4810126582278533</v>
      </c>
      <c r="W103" s="46">
        <f t="shared" si="222"/>
        <v>-11.072072072072075</v>
      </c>
      <c r="X103" s="46">
        <f t="shared" si="222"/>
        <v>-4.7865853658536572</v>
      </c>
      <c r="Y103" s="46">
        <f t="shared" si="222"/>
        <v>-5.9882352941176462</v>
      </c>
      <c r="Z103" s="46">
        <f t="shared" ref="Z103:AA103" si="223">IFERROR(Z30/-Z92,"N/A")</f>
        <v>-6.7697368421052628</v>
      </c>
      <c r="AA103" s="46">
        <f t="shared" si="223"/>
        <v>-7.8811188811188808</v>
      </c>
      <c r="AB103" s="46">
        <f t="shared" ref="AB103:AC103" si="224">IFERROR(AB30/-AB92,"N/A")</f>
        <v>-2.1363636363636371</v>
      </c>
      <c r="AC103" s="46" t="str">
        <f t="shared" si="224"/>
        <v>N/A</v>
      </c>
    </row>
    <row r="104" spans="1:29" x14ac:dyDescent="0.3">
      <c r="A104" s="8" t="s">
        <v>62</v>
      </c>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row>
    <row r="105" spans="1:29" x14ac:dyDescent="0.3">
      <c r="A105" s="85" t="s">
        <v>63</v>
      </c>
      <c r="B105" s="40"/>
      <c r="C105" s="40"/>
      <c r="D105" s="40"/>
      <c r="E105" s="2"/>
      <c r="F105" s="2"/>
      <c r="G105" s="2"/>
      <c r="H105" s="2"/>
      <c r="I105" s="2"/>
      <c r="J105" s="2"/>
      <c r="K105" s="5"/>
      <c r="L105" s="5"/>
      <c r="M105" s="5"/>
      <c r="N105" s="2"/>
      <c r="O105" s="5"/>
      <c r="P105" s="5"/>
      <c r="Q105" s="5"/>
      <c r="R105" s="2"/>
      <c r="S105" s="2"/>
      <c r="T105" s="2"/>
      <c r="U105" s="2"/>
      <c r="V105" s="2"/>
      <c r="W105" s="2"/>
      <c r="X105" s="2"/>
      <c r="Y105" s="2"/>
      <c r="Z105" s="2"/>
      <c r="AA105" s="2"/>
      <c r="AB105" s="2"/>
      <c r="AC105" s="2"/>
    </row>
    <row r="106" spans="1:29" x14ac:dyDescent="0.3">
      <c r="A106" s="85" t="s">
        <v>64</v>
      </c>
      <c r="B106" s="40"/>
      <c r="C106" s="40"/>
      <c r="D106" s="40"/>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x14ac:dyDescent="0.3">
      <c r="A107" s="85" t="s">
        <v>65</v>
      </c>
      <c r="B107" s="40"/>
      <c r="C107" s="40"/>
      <c r="D107" s="40"/>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x14ac:dyDescent="0.3">
      <c r="A108" s="31"/>
      <c r="B108" s="85"/>
      <c r="C108" s="85"/>
      <c r="D108" s="30"/>
      <c r="E108" s="30"/>
      <c r="F108" s="30"/>
      <c r="G108" s="30"/>
      <c r="H108" s="30"/>
      <c r="I108" s="82"/>
      <c r="J108" s="82"/>
      <c r="K108" s="30"/>
      <c r="L108" s="218"/>
      <c r="M108" s="218"/>
      <c r="N108" s="218"/>
      <c r="O108" s="218"/>
      <c r="P108" s="218"/>
      <c r="Q108" s="218"/>
      <c r="R108" s="218"/>
      <c r="S108" s="218"/>
      <c r="T108" s="218"/>
      <c r="U108" s="218"/>
    </row>
  </sheetData>
  <mergeCells count="1">
    <mergeCell ref="A1:AC1"/>
  </mergeCells>
  <pageMargins left="0.70866141732283472" right="0.70866141732283472" top="0.74803149606299213" bottom="0.74803149606299213" header="0.31496062992125984" footer="0.31496062992125984"/>
  <pageSetup paperSize="9" scale="24" orientation="portrait" r:id="rId1"/>
  <headerFooter alignWithMargins="0"/>
  <rowBreaks count="1" manualBreakCount="1">
    <brk id="72" max="28" man="1"/>
  </rowBreaks>
  <ignoredErrors>
    <ignoredError sqref="D29:H29 I29:K29 C52:K52 C77:K87 C63:K71 C59:R62 L63:R71" formula="1"/>
    <ignoredError sqref="P8:R12" evalError="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39997558519241921"/>
  </sheetPr>
  <dimension ref="B9:J24"/>
  <sheetViews>
    <sheetView view="pageBreakPreview" zoomScale="60" zoomScaleNormal="100" workbookViewId="0">
      <selection activeCell="B1" sqref="B1"/>
    </sheetView>
  </sheetViews>
  <sheetFormatPr defaultColWidth="9" defaultRowHeight="14.4" x14ac:dyDescent="0.3"/>
  <cols>
    <col min="1" max="16384" width="9" style="52"/>
  </cols>
  <sheetData>
    <row r="9" spans="2:10" x14ac:dyDescent="0.3">
      <c r="B9" s="351" t="s">
        <v>289</v>
      </c>
      <c r="C9" s="351"/>
      <c r="D9" s="351"/>
      <c r="E9" s="351"/>
      <c r="F9" s="351"/>
      <c r="G9" s="351"/>
      <c r="H9" s="351"/>
      <c r="I9" s="351"/>
      <c r="J9" s="351"/>
    </row>
    <row r="10" spans="2:10" x14ac:dyDescent="0.3">
      <c r="B10" s="351"/>
      <c r="C10" s="351"/>
      <c r="D10" s="351"/>
      <c r="E10" s="351"/>
      <c r="F10" s="351"/>
      <c r="G10" s="351"/>
      <c r="H10" s="351"/>
      <c r="I10" s="351"/>
      <c r="J10" s="351"/>
    </row>
    <row r="11" spans="2:10" x14ac:dyDescent="0.3">
      <c r="B11" s="351"/>
      <c r="C11" s="351"/>
      <c r="D11" s="351"/>
      <c r="E11" s="351"/>
      <c r="F11" s="351"/>
      <c r="G11" s="351"/>
      <c r="H11" s="351"/>
      <c r="I11" s="351"/>
      <c r="J11" s="351"/>
    </row>
    <row r="12" spans="2:10" x14ac:dyDescent="0.3">
      <c r="B12" s="351"/>
      <c r="C12" s="351"/>
      <c r="D12" s="351"/>
      <c r="E12" s="351"/>
      <c r="F12" s="351"/>
      <c r="G12" s="351"/>
      <c r="H12" s="351"/>
      <c r="I12" s="351"/>
      <c r="J12" s="351"/>
    </row>
    <row r="13" spans="2:10" x14ac:dyDescent="0.3">
      <c r="B13" s="351"/>
      <c r="C13" s="351"/>
      <c r="D13" s="351"/>
      <c r="E13" s="351"/>
      <c r="F13" s="351"/>
      <c r="G13" s="351"/>
      <c r="H13" s="351"/>
      <c r="I13" s="351"/>
      <c r="J13" s="351"/>
    </row>
    <row r="14" spans="2:10" x14ac:dyDescent="0.3">
      <c r="B14" s="351"/>
      <c r="C14" s="351"/>
      <c r="D14" s="351"/>
      <c r="E14" s="351"/>
      <c r="F14" s="351"/>
      <c r="G14" s="351"/>
      <c r="H14" s="351"/>
      <c r="I14" s="351"/>
      <c r="J14" s="351"/>
    </row>
    <row r="15" spans="2:10" x14ac:dyDescent="0.3">
      <c r="B15" s="351"/>
      <c r="C15" s="351"/>
      <c r="D15" s="351"/>
      <c r="E15" s="351"/>
      <c r="F15" s="351"/>
      <c r="G15" s="351"/>
      <c r="H15" s="351"/>
      <c r="I15" s="351"/>
      <c r="J15" s="351"/>
    </row>
    <row r="16" spans="2:10" x14ac:dyDescent="0.3">
      <c r="B16" s="351"/>
      <c r="C16" s="351"/>
      <c r="D16" s="351"/>
      <c r="E16" s="351"/>
      <c r="F16" s="351"/>
      <c r="G16" s="351"/>
      <c r="H16" s="351"/>
      <c r="I16" s="351"/>
      <c r="J16" s="351"/>
    </row>
    <row r="17" spans="2:10" x14ac:dyDescent="0.3">
      <c r="B17" s="351"/>
      <c r="C17" s="351"/>
      <c r="D17" s="351"/>
      <c r="E17" s="351"/>
      <c r="F17" s="351"/>
      <c r="G17" s="351"/>
      <c r="H17" s="351"/>
      <c r="I17" s="351"/>
      <c r="J17" s="351"/>
    </row>
    <row r="18" spans="2:10" x14ac:dyDescent="0.3">
      <c r="B18" s="351"/>
      <c r="C18" s="351"/>
      <c r="D18" s="351"/>
      <c r="E18" s="351"/>
      <c r="F18" s="351"/>
      <c r="G18" s="351"/>
      <c r="H18" s="351"/>
      <c r="I18" s="351"/>
      <c r="J18" s="351"/>
    </row>
    <row r="19" spans="2:10" x14ac:dyDescent="0.3">
      <c r="B19" s="351"/>
      <c r="C19" s="351"/>
      <c r="D19" s="351"/>
      <c r="E19" s="351"/>
      <c r="F19" s="351"/>
      <c r="G19" s="351"/>
      <c r="H19" s="351"/>
      <c r="I19" s="351"/>
      <c r="J19" s="351"/>
    </row>
    <row r="20" spans="2:10" x14ac:dyDescent="0.3">
      <c r="B20" s="351"/>
      <c r="C20" s="351"/>
      <c r="D20" s="351"/>
      <c r="E20" s="351"/>
      <c r="F20" s="351"/>
      <c r="G20" s="351"/>
      <c r="H20" s="351"/>
      <c r="I20" s="351"/>
      <c r="J20" s="351"/>
    </row>
    <row r="21" spans="2:10" x14ac:dyDescent="0.3">
      <c r="B21" s="351"/>
      <c r="C21" s="351"/>
      <c r="D21" s="351"/>
      <c r="E21" s="351"/>
      <c r="F21" s="351"/>
      <c r="G21" s="351"/>
      <c r="H21" s="351"/>
      <c r="I21" s="351"/>
      <c r="J21" s="351"/>
    </row>
    <row r="22" spans="2:10" x14ac:dyDescent="0.3">
      <c r="B22" s="351"/>
      <c r="C22" s="351"/>
      <c r="D22" s="351"/>
      <c r="E22" s="351"/>
      <c r="F22" s="351"/>
      <c r="G22" s="351"/>
      <c r="H22" s="351"/>
      <c r="I22" s="351"/>
      <c r="J22" s="351"/>
    </row>
    <row r="23" spans="2:10" x14ac:dyDescent="0.3">
      <c r="B23" s="351"/>
      <c r="C23" s="351"/>
      <c r="D23" s="351"/>
      <c r="E23" s="351"/>
      <c r="F23" s="351"/>
      <c r="G23" s="351"/>
      <c r="H23" s="351"/>
      <c r="I23" s="351"/>
      <c r="J23" s="351"/>
    </row>
    <row r="24" spans="2:10" x14ac:dyDescent="0.3">
      <c r="B24" s="351"/>
      <c r="C24" s="351"/>
      <c r="D24" s="351"/>
      <c r="E24" s="351"/>
      <c r="F24" s="351"/>
      <c r="G24" s="351"/>
      <c r="H24" s="351"/>
      <c r="I24" s="351"/>
      <c r="J24" s="351"/>
    </row>
  </sheetData>
  <mergeCells count="1">
    <mergeCell ref="B9:J24"/>
  </mergeCells>
  <pageMargins left="0.70866141732283472" right="0.70866141732283472" top="0.74803149606299213" bottom="0.74803149606299213" header="0.31496062992125984" footer="0.31496062992125984"/>
  <pageSetup paperSize="9" scale="80"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tint="0.79998168889431442"/>
  </sheetPr>
  <dimension ref="A1:Z134"/>
  <sheetViews>
    <sheetView view="pageBreakPreview" zoomScale="85" zoomScaleNormal="100" zoomScaleSheetLayoutView="85" workbookViewId="0">
      <pane xSplit="1" ySplit="7" topLeftCell="I23" activePane="bottomRight" state="frozen"/>
      <selection pane="topRight" activeCell="B1" sqref="B1"/>
      <selection pane="bottomLeft" activeCell="A8" sqref="A8"/>
      <selection pane="bottomRight" activeCell="L35" sqref="L35"/>
    </sheetView>
  </sheetViews>
  <sheetFormatPr defaultColWidth="8.88671875" defaultRowHeight="14.4" x14ac:dyDescent="0.3"/>
  <cols>
    <col min="1" max="1" width="51.33203125" style="13" bestFit="1" customWidth="1"/>
    <col min="2" max="10" width="11.5546875" style="13" bestFit="1" customWidth="1"/>
    <col min="11" max="12" width="11.5546875" style="13" customWidth="1"/>
    <col min="13" max="13" width="11.5546875" style="13" bestFit="1" customWidth="1"/>
    <col min="14" max="16384" width="8.88671875" style="13"/>
  </cols>
  <sheetData>
    <row r="1" spans="1:26" ht="28.8" x14ac:dyDescent="0.55000000000000004">
      <c r="A1" s="349" t="str">
        <f>(Inputs!$E$9 &amp; " - Balance Sheet (Reported)")</f>
        <v>Air Canada - Balance Sheet (Reported)</v>
      </c>
      <c r="B1" s="349"/>
      <c r="C1" s="349"/>
      <c r="D1" s="349"/>
      <c r="E1" s="349"/>
      <c r="F1" s="349"/>
      <c r="G1" s="349"/>
      <c r="H1" s="349"/>
      <c r="I1" s="349"/>
      <c r="J1" s="349"/>
      <c r="K1" s="349"/>
      <c r="L1" s="349"/>
      <c r="M1" s="349"/>
    </row>
    <row r="2" spans="1:26" x14ac:dyDescent="0.3">
      <c r="A2" s="3"/>
      <c r="B2" s="3" t="s">
        <v>11</v>
      </c>
      <c r="C2" s="3" t="s">
        <v>11</v>
      </c>
      <c r="D2" s="3" t="s">
        <v>11</v>
      </c>
      <c r="E2" s="3" t="s">
        <v>11</v>
      </c>
      <c r="F2" s="3" t="s">
        <v>11</v>
      </c>
      <c r="G2" s="3" t="s">
        <v>11</v>
      </c>
      <c r="H2" s="3" t="s">
        <v>11</v>
      </c>
      <c r="I2" s="3" t="s">
        <v>11</v>
      </c>
      <c r="J2" s="3" t="s">
        <v>11</v>
      </c>
      <c r="K2" s="3" t="s">
        <v>11</v>
      </c>
      <c r="L2" s="3" t="s">
        <v>11</v>
      </c>
      <c r="M2" s="3" t="s">
        <v>268</v>
      </c>
      <c r="N2" s="16"/>
      <c r="O2" s="16"/>
      <c r="P2" s="16"/>
      <c r="Q2" s="16"/>
      <c r="R2" s="16"/>
      <c r="S2" s="16"/>
      <c r="T2" s="16"/>
      <c r="U2" s="16"/>
      <c r="V2" s="16"/>
      <c r="W2" s="16"/>
      <c r="X2" s="16"/>
      <c r="Y2" s="16"/>
      <c r="Z2" s="16"/>
    </row>
    <row r="3" spans="1:26" x14ac:dyDescent="0.3">
      <c r="A3" s="3"/>
      <c r="B3" s="7">
        <f>'Annual Operational Data'!B3</f>
        <v>40543</v>
      </c>
      <c r="C3" s="7">
        <f>'Annual Operational Data'!C3</f>
        <v>40908</v>
      </c>
      <c r="D3" s="7">
        <f>'Annual Operational Data'!D3</f>
        <v>41274</v>
      </c>
      <c r="E3" s="7">
        <f>'Annual Operational Data'!E3</f>
        <v>41639</v>
      </c>
      <c r="F3" s="7">
        <f>'Annual Operational Data'!F3</f>
        <v>42004</v>
      </c>
      <c r="G3" s="7">
        <f>'Annual Operational Data'!G3</f>
        <v>42369</v>
      </c>
      <c r="H3" s="7">
        <f>'Annual Operational Data'!H3</f>
        <v>42735</v>
      </c>
      <c r="I3" s="7">
        <f>'Annual Operational Data'!I3</f>
        <v>43100</v>
      </c>
      <c r="J3" s="7">
        <f>'Annual Operational Data'!J3</f>
        <v>43465</v>
      </c>
      <c r="K3" s="7">
        <f>'Annual Operational Data'!K3</f>
        <v>43830</v>
      </c>
      <c r="L3" s="7">
        <f>'Annual Operational Data'!L3</f>
        <v>44196</v>
      </c>
      <c r="M3" s="7">
        <f>'Annual Operational Data'!M3</f>
        <v>44469</v>
      </c>
      <c r="N3" s="16"/>
      <c r="O3" s="16"/>
      <c r="P3" s="16"/>
      <c r="Q3" s="16"/>
      <c r="R3" s="16"/>
      <c r="S3" s="16"/>
      <c r="T3" s="16"/>
      <c r="U3" s="16"/>
      <c r="V3" s="16"/>
      <c r="W3" s="16"/>
      <c r="X3" s="16"/>
      <c r="Y3" s="16"/>
      <c r="Z3" s="16"/>
    </row>
    <row r="4" spans="1:26" x14ac:dyDescent="0.3">
      <c r="A4" s="3"/>
      <c r="B4" s="66" t="s">
        <v>1</v>
      </c>
      <c r="C4" s="66" t="s">
        <v>1</v>
      </c>
      <c r="D4" s="66" t="s">
        <v>1</v>
      </c>
      <c r="E4" s="66" t="s">
        <v>1</v>
      </c>
      <c r="F4" s="66" t="s">
        <v>1</v>
      </c>
      <c r="G4" s="66" t="s">
        <v>1</v>
      </c>
      <c r="H4" s="3" t="s">
        <v>1</v>
      </c>
      <c r="I4" s="3" t="s">
        <v>1</v>
      </c>
      <c r="J4" s="3" t="s">
        <v>1</v>
      </c>
      <c r="K4" s="3" t="s">
        <v>1</v>
      </c>
      <c r="L4" s="3" t="s">
        <v>1</v>
      </c>
      <c r="M4" s="3" t="s">
        <v>1</v>
      </c>
      <c r="N4" s="16"/>
      <c r="O4" s="16"/>
      <c r="P4" s="16"/>
      <c r="Q4" s="16"/>
      <c r="R4" s="16"/>
      <c r="S4" s="16"/>
      <c r="T4" s="16"/>
      <c r="U4" s="16"/>
      <c r="V4" s="16"/>
      <c r="W4" s="16"/>
      <c r="X4" s="16"/>
      <c r="Y4" s="16"/>
      <c r="Z4" s="16"/>
    </row>
    <row r="5" spans="1:26" x14ac:dyDescent="0.3">
      <c r="A5" s="3"/>
      <c r="B5" s="66" t="str">
        <f>Inputs!$E$18&amp;"m"</f>
        <v>CADm</v>
      </c>
      <c r="C5" s="66" t="str">
        <f>Inputs!$E$18&amp;"m"</f>
        <v>CADm</v>
      </c>
      <c r="D5" s="66" t="str">
        <f>Inputs!$E$18&amp;"m"</f>
        <v>CADm</v>
      </c>
      <c r="E5" s="66" t="str">
        <f>Inputs!$E$18&amp;"m"</f>
        <v>CADm</v>
      </c>
      <c r="F5" s="66" t="str">
        <f>Inputs!$E$18&amp;"m"</f>
        <v>CADm</v>
      </c>
      <c r="G5" s="66" t="str">
        <f>Inputs!$E$18&amp;"m"</f>
        <v>CADm</v>
      </c>
      <c r="H5" s="66" t="str">
        <f>Inputs!$E$18&amp;"m"</f>
        <v>CADm</v>
      </c>
      <c r="I5" s="66" t="str">
        <f>Inputs!$E$18&amp;"m"</f>
        <v>CADm</v>
      </c>
      <c r="J5" s="66" t="str">
        <f>Inputs!$E$18&amp;"m"</f>
        <v>CADm</v>
      </c>
      <c r="K5" s="66" t="str">
        <f>Inputs!$E$18&amp;"m"</f>
        <v>CADm</v>
      </c>
      <c r="L5" s="66" t="str">
        <f>Inputs!$E$18&amp;"m"</f>
        <v>CADm</v>
      </c>
      <c r="M5" s="66" t="str">
        <f>Inputs!$E$18&amp;"m"</f>
        <v>CADm</v>
      </c>
      <c r="N5" s="16"/>
      <c r="O5" s="16"/>
      <c r="P5" s="16"/>
      <c r="Q5" s="16"/>
      <c r="R5" s="16"/>
      <c r="S5" s="16"/>
      <c r="T5" s="16"/>
      <c r="U5" s="16"/>
      <c r="V5" s="16"/>
      <c r="W5" s="16"/>
      <c r="X5" s="16"/>
      <c r="Y5" s="16"/>
      <c r="Z5" s="16"/>
    </row>
    <row r="6" spans="1:26" x14ac:dyDescent="0.3">
      <c r="A6" s="3"/>
      <c r="B6" s="3"/>
      <c r="C6" s="3"/>
      <c r="D6" s="3"/>
      <c r="E6" s="3"/>
      <c r="F6" s="3"/>
      <c r="G6" s="3"/>
      <c r="H6" s="3"/>
      <c r="I6" s="3"/>
      <c r="J6" s="3" t="s">
        <v>626</v>
      </c>
      <c r="K6" s="3"/>
      <c r="L6" s="3"/>
      <c r="M6" s="3"/>
      <c r="N6" s="16"/>
      <c r="O6" s="16"/>
      <c r="P6" s="16"/>
      <c r="Q6" s="16"/>
      <c r="R6" s="16"/>
      <c r="S6" s="16"/>
      <c r="T6" s="16"/>
      <c r="U6" s="16"/>
      <c r="V6" s="16"/>
      <c r="W6" s="16"/>
      <c r="X6" s="16"/>
      <c r="Y6" s="16"/>
      <c r="Z6" s="16"/>
    </row>
    <row r="7" spans="1:26" x14ac:dyDescent="0.3">
      <c r="A7" s="3"/>
      <c r="B7" s="20"/>
      <c r="C7" s="20"/>
      <c r="D7" s="20"/>
      <c r="E7" s="20"/>
      <c r="F7" s="20"/>
      <c r="G7" s="20"/>
      <c r="H7" s="20"/>
      <c r="I7" s="20"/>
      <c r="J7" s="20"/>
      <c r="K7" s="20"/>
      <c r="L7" s="20"/>
      <c r="M7" s="20"/>
      <c r="N7" s="16"/>
      <c r="O7" s="16"/>
      <c r="P7" s="16"/>
      <c r="Q7" s="16"/>
      <c r="R7" s="16"/>
      <c r="S7" s="16"/>
      <c r="T7" s="16"/>
      <c r="U7" s="16"/>
      <c r="V7" s="16"/>
      <c r="W7" s="16"/>
      <c r="X7" s="16"/>
      <c r="Y7" s="16"/>
      <c r="Z7" s="16"/>
    </row>
    <row r="8" spans="1:26" x14ac:dyDescent="0.3">
      <c r="A8" s="31" t="s">
        <v>75</v>
      </c>
      <c r="B8" s="32">
        <f>5797-1758</f>
        <v>4039</v>
      </c>
      <c r="C8" s="32">
        <f>4346-C9</f>
        <v>4108</v>
      </c>
      <c r="D8" s="32">
        <f>3869-D9</f>
        <v>3692</v>
      </c>
      <c r="E8" s="32">
        <f>4208-E9</f>
        <v>4058</v>
      </c>
      <c r="F8" s="32">
        <f>4944-F9</f>
        <v>4799</v>
      </c>
      <c r="G8" s="32">
        <f>5660-G9</f>
        <v>5408</v>
      </c>
      <c r="H8" s="32">
        <f>7030-H9</f>
        <v>6796</v>
      </c>
      <c r="I8" s="32">
        <v>7543</v>
      </c>
      <c r="J8" s="32">
        <v>8109</v>
      </c>
      <c r="K8" s="32">
        <v>8304</v>
      </c>
      <c r="L8" s="32">
        <v>7832</v>
      </c>
      <c r="M8" s="58">
        <f>SUMIFS('Interim Balance Sheet Reported'!$B8:$XFD8,'Interim Balance Sheet Reported'!$B$3:$XFD$3, "="&amp;'Balance Sheet Reported'!M$3)</f>
        <v>11735</v>
      </c>
    </row>
    <row r="9" spans="1:26" x14ac:dyDescent="0.3">
      <c r="A9" s="31" t="s">
        <v>76</v>
      </c>
      <c r="B9" s="32">
        <f>1959-853</f>
        <v>1106</v>
      </c>
      <c r="C9" s="32">
        <v>238</v>
      </c>
      <c r="D9" s="32">
        <v>177</v>
      </c>
      <c r="E9" s="32">
        <v>150</v>
      </c>
      <c r="F9" s="32">
        <v>145</v>
      </c>
      <c r="G9" s="32">
        <v>252</v>
      </c>
      <c r="H9" s="32">
        <v>234</v>
      </c>
      <c r="I9" s="32"/>
      <c r="J9" s="32">
        <v>2540</v>
      </c>
      <c r="K9" s="32">
        <v>2822</v>
      </c>
      <c r="L9" s="32">
        <v>2845</v>
      </c>
      <c r="M9" s="58">
        <f>SUMIFS('Interim Balance Sheet Reported'!$B9:$XFD9,'Interim Balance Sheet Reported'!$B$3:$XFD$3, "="&amp;'Balance Sheet Reported'!M$3)</f>
        <v>0</v>
      </c>
    </row>
    <row r="10" spans="1:26" x14ac:dyDescent="0.3">
      <c r="A10" s="31" t="s">
        <v>77</v>
      </c>
      <c r="B10" s="32"/>
      <c r="C10" s="32">
        <v>96</v>
      </c>
      <c r="D10" s="32">
        <v>324</v>
      </c>
      <c r="E10" s="32">
        <v>356</v>
      </c>
      <c r="F10" s="32">
        <v>487</v>
      </c>
      <c r="G10" s="32">
        <v>770</v>
      </c>
      <c r="H10" s="32">
        <v>897</v>
      </c>
      <c r="I10" s="32">
        <v>1063</v>
      </c>
      <c r="J10" s="32">
        <v>933</v>
      </c>
      <c r="K10" s="32">
        <v>1041</v>
      </c>
      <c r="L10" s="32">
        <v>754</v>
      </c>
      <c r="M10" s="58">
        <f>SUMIFS('Interim Balance Sheet Reported'!$B10:$XFD10,'Interim Balance Sheet Reported'!$B$3:$XFD$3, "="&amp;'Balance Sheet Reported'!M$3)</f>
        <v>0</v>
      </c>
    </row>
    <row r="11" spans="1:26" x14ac:dyDescent="0.3">
      <c r="A11" s="31" t="s">
        <v>78</v>
      </c>
      <c r="B11" s="32">
        <f>702-228</f>
        <v>474</v>
      </c>
      <c r="C11" s="32">
        <v>506</v>
      </c>
      <c r="D11" s="32">
        <v>545</v>
      </c>
      <c r="E11" s="32">
        <v>352</v>
      </c>
      <c r="F11" s="32">
        <v>399</v>
      </c>
      <c r="G11" s="32">
        <v>410</v>
      </c>
      <c r="H11" s="32">
        <v>409</v>
      </c>
      <c r="I11" s="32">
        <v>438</v>
      </c>
      <c r="J11" s="32">
        <v>404</v>
      </c>
      <c r="K11" s="32">
        <v>422</v>
      </c>
      <c r="L11" s="32">
        <v>480</v>
      </c>
      <c r="M11" s="58">
        <f>SUMIFS('Interim Balance Sheet Reported'!$B11:$XFD11,'Interim Balance Sheet Reported'!$B$3:$XFD$3, "="&amp;'Balance Sheet Reported'!M$3)</f>
        <v>0</v>
      </c>
    </row>
    <row r="12" spans="1:26" x14ac:dyDescent="0.3">
      <c r="A12" s="31" t="s">
        <v>79</v>
      </c>
      <c r="B12" s="36">
        <f>170-76+34</f>
        <v>128</v>
      </c>
      <c r="C12" s="36">
        <v>140</v>
      </c>
      <c r="D12" s="36">
        <v>133</v>
      </c>
      <c r="E12" s="36">
        <v>157</v>
      </c>
      <c r="F12" s="36">
        <v>168</v>
      </c>
      <c r="G12" s="36">
        <v>190</v>
      </c>
      <c r="H12" s="36">
        <v>184</v>
      </c>
      <c r="I12" s="36">
        <v>208</v>
      </c>
      <c r="J12" s="36">
        <v>197</v>
      </c>
      <c r="K12" s="36">
        <v>245</v>
      </c>
      <c r="L12" s="36">
        <v>226</v>
      </c>
      <c r="M12" s="60">
        <f>SUMIFS('Interim Balance Sheet Reported'!$B12:$XFD12,'Interim Balance Sheet Reported'!$B$3:$XFD$3, "="&amp;'Balance Sheet Reported'!M$3)</f>
        <v>0</v>
      </c>
    </row>
    <row r="13" spans="1:26" x14ac:dyDescent="0.3">
      <c r="A13" s="14" t="s">
        <v>80</v>
      </c>
      <c r="B13" s="22">
        <f>SUM(B8:B12)</f>
        <v>5747</v>
      </c>
      <c r="C13" s="22">
        <f t="shared" ref="C13:M13" si="0">SUM(C8:C12)</f>
        <v>5088</v>
      </c>
      <c r="D13" s="22">
        <f t="shared" si="0"/>
        <v>4871</v>
      </c>
      <c r="E13" s="22">
        <f t="shared" si="0"/>
        <v>5073</v>
      </c>
      <c r="F13" s="22">
        <f t="shared" si="0"/>
        <v>5998</v>
      </c>
      <c r="G13" s="22">
        <f t="shared" si="0"/>
        <v>7030</v>
      </c>
      <c r="H13" s="22">
        <f t="shared" si="0"/>
        <v>8520</v>
      </c>
      <c r="I13" s="22">
        <f t="shared" ref="I13:K13" si="1">SUM(I8:I12)</f>
        <v>9252</v>
      </c>
      <c r="J13" s="22">
        <f t="shared" si="1"/>
        <v>12183</v>
      </c>
      <c r="K13" s="22">
        <f t="shared" si="1"/>
        <v>12834</v>
      </c>
      <c r="L13" s="22">
        <f t="shared" ref="L13" si="2">SUM(L8:L12)</f>
        <v>12137</v>
      </c>
      <c r="M13" s="74">
        <f t="shared" si="0"/>
        <v>11735</v>
      </c>
    </row>
    <row r="14" spans="1:26" x14ac:dyDescent="0.3">
      <c r="A14" s="31" t="s">
        <v>81</v>
      </c>
      <c r="B14" s="32">
        <v>512</v>
      </c>
      <c r="C14" s="32">
        <v>595</v>
      </c>
      <c r="D14" s="32">
        <v>510</v>
      </c>
      <c r="E14" s="32">
        <v>494</v>
      </c>
      <c r="F14" s="32">
        <v>556</v>
      </c>
      <c r="G14" s="32">
        <v>496</v>
      </c>
      <c r="H14" s="32">
        <v>468</v>
      </c>
      <c r="I14" s="32">
        <v>465</v>
      </c>
      <c r="J14" s="32">
        <v>401</v>
      </c>
      <c r="K14" s="32">
        <v>936</v>
      </c>
      <c r="L14" s="32">
        <v>833</v>
      </c>
      <c r="M14" s="58">
        <f>SUMIFS('Interim Balance Sheet Reported'!$B14:$XFD14,'Interim Balance Sheet Reported'!$B$3:$XFD$3, "="&amp;'Balance Sheet Reported'!M$3)</f>
        <v>1095</v>
      </c>
    </row>
    <row r="15" spans="1:26" x14ac:dyDescent="0.3">
      <c r="A15" s="31" t="s">
        <v>82</v>
      </c>
      <c r="B15" s="32"/>
      <c r="C15" s="32"/>
      <c r="D15" s="32"/>
      <c r="E15" s="32"/>
      <c r="F15" s="32"/>
      <c r="G15" s="32"/>
      <c r="H15" s="32"/>
      <c r="I15" s="32"/>
      <c r="J15" s="32"/>
      <c r="K15" s="32"/>
      <c r="L15" s="32"/>
      <c r="M15" s="58">
        <f>SUMIFS('Interim Balance Sheet Reported'!$B15:$XFD15,'Interim Balance Sheet Reported'!$B$3:$XFD$3, "="&amp;'Balance Sheet Reported'!M$3)</f>
        <v>0</v>
      </c>
    </row>
    <row r="16" spans="1:26" x14ac:dyDescent="0.3">
      <c r="A16" s="31" t="s">
        <v>83</v>
      </c>
      <c r="B16" s="32">
        <v>840</v>
      </c>
      <c r="C16" s="32">
        <f>312+311</f>
        <v>623</v>
      </c>
      <c r="D16" s="32">
        <f>314+311</f>
        <v>625</v>
      </c>
      <c r="E16" s="32">
        <f>304+311</f>
        <v>615</v>
      </c>
      <c r="F16" s="32">
        <f>305+311</f>
        <v>616</v>
      </c>
      <c r="G16" s="32">
        <f>314+311</f>
        <v>625</v>
      </c>
      <c r="H16" s="32">
        <f>315+311</f>
        <v>626</v>
      </c>
      <c r="I16" s="32">
        <f>318+311</f>
        <v>629</v>
      </c>
      <c r="J16" s="32">
        <f>404+311</f>
        <v>715</v>
      </c>
      <c r="K16" s="32">
        <f>1002+3273</f>
        <v>4275</v>
      </c>
      <c r="L16" s="32">
        <f>1134+3273</f>
        <v>4407</v>
      </c>
      <c r="M16" s="58">
        <f>SUMIFS('Interim Balance Sheet Reported'!$B16:$XFD16,'Interim Balance Sheet Reported'!$B$3:$XFD$3, "="&amp;'Balance Sheet Reported'!M$3)</f>
        <v>4368</v>
      </c>
      <c r="N16" s="32"/>
    </row>
    <row r="17" spans="1:14" x14ac:dyDescent="0.3">
      <c r="A17" s="31" t="s">
        <v>84</v>
      </c>
      <c r="B17" s="32"/>
      <c r="C17" s="32"/>
      <c r="D17" s="32"/>
      <c r="E17" s="32"/>
      <c r="F17" s="32"/>
      <c r="G17" s="32"/>
      <c r="H17" s="32"/>
      <c r="I17" s="32"/>
      <c r="J17" s="32"/>
      <c r="K17" s="32"/>
      <c r="L17" s="32"/>
      <c r="M17" s="58">
        <f>SUMIFS('Interim Balance Sheet Reported'!$B17:$XFD17,'Interim Balance Sheet Reported'!$B$3:$XFD$3, "="&amp;'Balance Sheet Reported'!M$3)</f>
        <v>0</v>
      </c>
    </row>
    <row r="18" spans="1:14" x14ac:dyDescent="0.3">
      <c r="A18" s="31" t="s">
        <v>85</v>
      </c>
      <c r="B18" s="32"/>
      <c r="C18" s="32"/>
      <c r="D18" s="32"/>
      <c r="E18" s="32"/>
      <c r="F18" s="32"/>
      <c r="G18" s="32"/>
      <c r="H18" s="32"/>
      <c r="I18" s="32"/>
      <c r="J18" s="32"/>
      <c r="K18" s="32"/>
      <c r="L18" s="32"/>
      <c r="M18" s="58">
        <f>SUMIFS('Interim Balance Sheet Reported'!$B18:$XFD18,'Interim Balance Sheet Reported'!$B$3:$XFD$3, "="&amp;'Balance Sheet Reported'!M$3)</f>
        <v>0</v>
      </c>
    </row>
    <row r="19" spans="1:14" x14ac:dyDescent="0.3">
      <c r="A19" s="31" t="s">
        <v>86</v>
      </c>
      <c r="B19" s="32"/>
      <c r="C19" s="32"/>
      <c r="D19" s="32"/>
      <c r="E19" s="32"/>
      <c r="F19" s="32"/>
      <c r="G19" s="32"/>
      <c r="H19" s="32"/>
      <c r="I19" s="32">
        <v>472</v>
      </c>
      <c r="J19" s="32">
        <v>314</v>
      </c>
      <c r="K19" s="32">
        <v>134</v>
      </c>
      <c r="L19" s="32">
        <v>25</v>
      </c>
      <c r="M19" s="58">
        <f>SUMIFS('Interim Balance Sheet Reported'!$B19:$XFD19,'Interim Balance Sheet Reported'!$B$3:$XFD$3, "="&amp;'Balance Sheet Reported'!M$3)</f>
        <v>37</v>
      </c>
    </row>
    <row r="20" spans="1:14" x14ac:dyDescent="0.3">
      <c r="A20" s="31" t="s">
        <v>87</v>
      </c>
      <c r="B20" s="32"/>
      <c r="C20" s="32"/>
      <c r="D20" s="32"/>
      <c r="E20" s="32"/>
      <c r="F20" s="32"/>
      <c r="G20" s="32"/>
      <c r="H20" s="32"/>
      <c r="I20" s="32"/>
      <c r="J20" s="32"/>
      <c r="K20" s="32"/>
      <c r="L20" s="32"/>
      <c r="M20" s="58">
        <f>SUMIFS('Interim Balance Sheet Reported'!$B20:$XFD20,'Interim Balance Sheet Reported'!$B$3:$XFD$3, "="&amp;'Balance Sheet Reported'!M$3)</f>
        <v>0</v>
      </c>
      <c r="N20" s="13" t="s">
        <v>474</v>
      </c>
    </row>
    <row r="21" spans="1:14" x14ac:dyDescent="0.3">
      <c r="A21" s="31" t="s">
        <v>88</v>
      </c>
      <c r="B21" s="32"/>
      <c r="C21" s="32"/>
      <c r="D21" s="32"/>
      <c r="E21" s="32"/>
      <c r="F21" s="32"/>
      <c r="G21" s="32">
        <v>851</v>
      </c>
      <c r="H21" s="32">
        <v>1153</v>
      </c>
      <c r="I21" s="32">
        <f>1583</f>
        <v>1583</v>
      </c>
      <c r="J21" s="32">
        <v>1969</v>
      </c>
      <c r="K21" s="32">
        <v>2064</v>
      </c>
      <c r="L21" s="32">
        <v>2840</v>
      </c>
      <c r="M21" s="58">
        <f>SUMIFS('Interim Balance Sheet Reported'!$B21:$XFD21,'Interim Balance Sheet Reported'!$B$3:$XFD$3, "="&amp;'Balance Sheet Reported'!M$3)</f>
        <v>3206</v>
      </c>
    </row>
    <row r="22" spans="1:14" x14ac:dyDescent="0.3">
      <c r="A22" s="31" t="s">
        <v>89</v>
      </c>
      <c r="B22" s="36"/>
      <c r="C22" s="36"/>
      <c r="D22" s="36"/>
      <c r="E22" s="36"/>
      <c r="F22" s="36"/>
      <c r="G22" s="36"/>
      <c r="H22" s="36"/>
      <c r="I22" s="36"/>
      <c r="J22" s="36"/>
      <c r="K22" s="36"/>
      <c r="L22" s="36"/>
      <c r="M22" s="60">
        <f>SUMIFS('Interim Balance Sheet Reported'!$B22:$XFD22,'Interim Balance Sheet Reported'!$B$3:$XFD$3, "="&amp;'Balance Sheet Reported'!M$3)</f>
        <v>0</v>
      </c>
    </row>
    <row r="23" spans="1:14" x14ac:dyDescent="0.3">
      <c r="A23" s="14" t="s">
        <v>90</v>
      </c>
      <c r="B23" s="22">
        <f t="shared" ref="B23:M23" si="3">SUM(B14:B22)</f>
        <v>1352</v>
      </c>
      <c r="C23" s="22">
        <f t="shared" si="3"/>
        <v>1218</v>
      </c>
      <c r="D23" s="22">
        <f t="shared" si="3"/>
        <v>1135</v>
      </c>
      <c r="E23" s="22">
        <f t="shared" si="3"/>
        <v>1109</v>
      </c>
      <c r="F23" s="22">
        <f t="shared" si="3"/>
        <v>1172</v>
      </c>
      <c r="G23" s="22">
        <f t="shared" si="3"/>
        <v>1972</v>
      </c>
      <c r="H23" s="22">
        <f t="shared" si="3"/>
        <v>2247</v>
      </c>
      <c r="I23" s="22">
        <f t="shared" ref="I23:J23" si="4">SUM(I14:I22)</f>
        <v>3149</v>
      </c>
      <c r="J23" s="22">
        <f t="shared" si="4"/>
        <v>3399</v>
      </c>
      <c r="K23" s="22">
        <f t="shared" ref="K23:L23" si="5">SUM(K14:K22)</f>
        <v>7409</v>
      </c>
      <c r="L23" s="22">
        <f t="shared" si="5"/>
        <v>8105</v>
      </c>
      <c r="M23" s="74">
        <f t="shared" si="3"/>
        <v>8706</v>
      </c>
    </row>
    <row r="24" spans="1:14" x14ac:dyDescent="0.3">
      <c r="A24" s="14" t="s">
        <v>253</v>
      </c>
      <c r="B24" s="23">
        <f t="shared" ref="B24:M24" si="6">B13+B23</f>
        <v>7099</v>
      </c>
      <c r="C24" s="23">
        <f t="shared" si="6"/>
        <v>6306</v>
      </c>
      <c r="D24" s="23">
        <f t="shared" si="6"/>
        <v>6006</v>
      </c>
      <c r="E24" s="23">
        <f t="shared" si="6"/>
        <v>6182</v>
      </c>
      <c r="F24" s="23">
        <f t="shared" si="6"/>
        <v>7170</v>
      </c>
      <c r="G24" s="23">
        <f t="shared" si="6"/>
        <v>9002</v>
      </c>
      <c r="H24" s="23">
        <f t="shared" si="6"/>
        <v>10767</v>
      </c>
      <c r="I24" s="23">
        <f t="shared" ref="I24:J24" si="7">I13+I23</f>
        <v>12401</v>
      </c>
      <c r="J24" s="23">
        <f t="shared" si="7"/>
        <v>15582</v>
      </c>
      <c r="K24" s="23">
        <f t="shared" ref="K24:L24" si="8">K13+K23</f>
        <v>20243</v>
      </c>
      <c r="L24" s="23">
        <f t="shared" si="8"/>
        <v>20242</v>
      </c>
      <c r="M24" s="97">
        <f t="shared" si="6"/>
        <v>20441</v>
      </c>
    </row>
    <row r="25" spans="1:14" x14ac:dyDescent="0.3">
      <c r="A25" s="31" t="s">
        <v>66</v>
      </c>
      <c r="B25" s="32">
        <v>1090</v>
      </c>
      <c r="C25" s="32">
        <v>848</v>
      </c>
      <c r="D25" s="32">
        <v>758</v>
      </c>
      <c r="E25" s="32">
        <v>750</v>
      </c>
      <c r="F25" s="32">
        <v>661</v>
      </c>
      <c r="G25" s="32">
        <v>572</v>
      </c>
      <c r="H25" s="32">
        <v>787</v>
      </c>
      <c r="I25" s="32">
        <v>642</v>
      </c>
      <c r="J25" s="32">
        <v>630</v>
      </c>
      <c r="K25" s="32">
        <v>2090</v>
      </c>
      <c r="L25" s="32">
        <v>3658</v>
      </c>
      <c r="M25" s="58">
        <f>SUMIFS('Interim Balance Sheet Reported'!$B25:$XFD25,'Interim Balance Sheet Reported'!$B$3:$XFD$3, "="&amp;'Balance Sheet Reported'!M$3)</f>
        <v>5220</v>
      </c>
    </row>
    <row r="26" spans="1:14" x14ac:dyDescent="0.3">
      <c r="A26" s="31" t="s">
        <v>67</v>
      </c>
      <c r="B26" s="32">
        <v>1102</v>
      </c>
      <c r="C26" s="32">
        <v>1251</v>
      </c>
      <c r="D26" s="32">
        <v>1268</v>
      </c>
      <c r="E26" s="32">
        <v>1458</v>
      </c>
      <c r="F26" s="32">
        <v>1614</v>
      </c>
      <c r="G26" s="32">
        <v>2100</v>
      </c>
      <c r="H26" s="32">
        <v>2192</v>
      </c>
      <c r="I26" s="32">
        <v>3162</v>
      </c>
      <c r="J26" s="32">
        <v>4077</v>
      </c>
      <c r="K26" s="32">
        <v>3799</v>
      </c>
      <c r="L26" s="32">
        <v>3843</v>
      </c>
      <c r="M26" s="58">
        <f>SUMIFS('Interim Balance Sheet Reported'!$B26:$XFD26,'Interim Balance Sheet Reported'!$B$3:$XFD$3, "="&amp;'Balance Sheet Reported'!M$3)</f>
        <v>3482</v>
      </c>
    </row>
    <row r="27" spans="1:14" x14ac:dyDescent="0.3">
      <c r="A27" s="31" t="s">
        <v>68</v>
      </c>
      <c r="B27" s="32">
        <v>80</v>
      </c>
      <c r="C27" s="32">
        <v>76</v>
      </c>
      <c r="D27" s="32">
        <v>96</v>
      </c>
      <c r="E27" s="32">
        <v>92</v>
      </c>
      <c r="F27" s="32">
        <v>89</v>
      </c>
      <c r="G27" s="32">
        <v>91</v>
      </c>
      <c r="H27" s="32">
        <v>126</v>
      </c>
      <c r="I27" s="32">
        <v>148</v>
      </c>
      <c r="J27" s="32">
        <v>161</v>
      </c>
      <c r="K27" s="32">
        <v>157</v>
      </c>
      <c r="L27" s="32">
        <v>106</v>
      </c>
      <c r="M27" s="58">
        <f>SUMIFS('Interim Balance Sheet Reported'!$B27:$XFD27,'Interim Balance Sheet Reported'!$B$3:$XFD$3, "="&amp;'Balance Sheet Reported'!M$3)</f>
        <v>92</v>
      </c>
    </row>
    <row r="28" spans="1:14" x14ac:dyDescent="0.3">
      <c r="A28" s="31" t="s">
        <v>69</v>
      </c>
      <c r="B28" s="32">
        <f>67+88</f>
        <v>155</v>
      </c>
      <c r="C28" s="32">
        <f>92+93</f>
        <v>185</v>
      </c>
      <c r="D28" s="32">
        <f>84+66</f>
        <v>150</v>
      </c>
      <c r="E28" s="32">
        <f>71+65</f>
        <v>136</v>
      </c>
      <c r="F28" s="32">
        <f>72+91</f>
        <v>163</v>
      </c>
      <c r="G28" s="32">
        <f>68+114</f>
        <v>182</v>
      </c>
      <c r="H28" s="32">
        <f>79+107</f>
        <v>186</v>
      </c>
      <c r="I28" s="32">
        <f>115+91</f>
        <v>206</v>
      </c>
      <c r="J28" s="32">
        <f>111+109</f>
        <v>220</v>
      </c>
      <c r="K28" s="32">
        <f>110+102</f>
        <v>212</v>
      </c>
      <c r="L28" s="32">
        <f>41+125</f>
        <v>166</v>
      </c>
      <c r="M28" s="58">
        <f>SUMIFS('Interim Balance Sheet Reported'!$B28:$XFD28,'Interim Balance Sheet Reported'!$B$3:$XFD$3, "="&amp;'Balance Sheet Reported'!M$3)</f>
        <v>187</v>
      </c>
    </row>
    <row r="29" spans="1:14" x14ac:dyDescent="0.3">
      <c r="A29" s="31" t="s">
        <v>70</v>
      </c>
      <c r="B29" s="32"/>
      <c r="C29" s="32"/>
      <c r="D29" s="32"/>
      <c r="E29" s="32"/>
      <c r="F29" s="32"/>
      <c r="G29" s="32"/>
      <c r="H29" s="32"/>
      <c r="I29" s="32"/>
      <c r="J29" s="32"/>
      <c r="K29" s="32"/>
      <c r="L29" s="32"/>
      <c r="M29" s="58">
        <f>SUMIFS('Interim Balance Sheet Reported'!$B29:$XFD29,'Interim Balance Sheet Reported'!$B$3:$XFD$3, "="&amp;'Balance Sheet Reported'!M$3)</f>
        <v>0</v>
      </c>
    </row>
    <row r="30" spans="1:14" x14ac:dyDescent="0.3">
      <c r="A30" s="31" t="s">
        <v>71</v>
      </c>
      <c r="B30" s="32">
        <v>641</v>
      </c>
      <c r="C30" s="32">
        <v>712</v>
      </c>
      <c r="D30" s="32">
        <v>550</v>
      </c>
      <c r="E30" s="32">
        <v>589</v>
      </c>
      <c r="F30" s="32">
        <v>656</v>
      </c>
      <c r="G30" s="32">
        <v>654</v>
      </c>
      <c r="H30" s="32">
        <v>707</v>
      </c>
      <c r="I30" s="32">
        <v>814</v>
      </c>
      <c r="J30" s="32">
        <v>796</v>
      </c>
      <c r="K30" s="32">
        <v>926</v>
      </c>
      <c r="L30" s="32">
        <f>644</f>
        <v>644</v>
      </c>
      <c r="M30" s="58">
        <f>SUMIFS('Interim Balance Sheet Reported'!$B30:$XFD30,'Interim Balance Sheet Reported'!$B$3:$XFD$3, "="&amp;'Balance Sheet Reported'!M$3)</f>
        <v>744</v>
      </c>
    </row>
    <row r="31" spans="1:14" x14ac:dyDescent="0.3">
      <c r="A31" s="31" t="s">
        <v>72</v>
      </c>
      <c r="B31" s="32"/>
      <c r="C31" s="32"/>
      <c r="D31" s="32"/>
      <c r="E31" s="32"/>
      <c r="F31" s="32"/>
      <c r="G31" s="32"/>
      <c r="H31" s="32"/>
      <c r="I31" s="32"/>
      <c r="J31" s="32"/>
      <c r="K31" s="32"/>
      <c r="L31" s="32"/>
      <c r="M31" s="58">
        <f>SUMIFS('Interim Balance Sheet Reported'!$B31:$XFD31,'Interim Balance Sheet Reported'!$B$3:$XFD$3, "="&amp;'Balance Sheet Reported'!M$3)</f>
        <v>0</v>
      </c>
    </row>
    <row r="32" spans="1:14" x14ac:dyDescent="0.3">
      <c r="A32" s="31" t="s">
        <v>73</v>
      </c>
      <c r="B32" s="36">
        <v>377</v>
      </c>
      <c r="C32" s="36">
        <v>255</v>
      </c>
      <c r="D32" s="36">
        <v>232</v>
      </c>
      <c r="E32" s="36">
        <v>263</v>
      </c>
      <c r="F32" s="36">
        <v>295</v>
      </c>
      <c r="G32" s="36">
        <f>383+143</f>
        <v>526</v>
      </c>
      <c r="H32" s="36">
        <v>349</v>
      </c>
      <c r="I32" s="36">
        <v>325</v>
      </c>
      <c r="J32" s="36">
        <v>417</v>
      </c>
      <c r="K32" s="36">
        <v>332</v>
      </c>
      <c r="L32" s="36">
        <f>254</f>
        <v>254</v>
      </c>
      <c r="M32" s="60">
        <f>SUMIFS('Interim Balance Sheet Reported'!$B32:$XFD32,'Interim Balance Sheet Reported'!$B$3:$XFD$3, "="&amp;'Balance Sheet Reported'!M$3)</f>
        <v>134</v>
      </c>
    </row>
    <row r="33" spans="1:13" x14ac:dyDescent="0.3">
      <c r="A33" s="14" t="s">
        <v>74</v>
      </c>
      <c r="B33" s="22">
        <f t="shared" ref="B33:M33" si="9">SUM(B25:B32)</f>
        <v>3445</v>
      </c>
      <c r="C33" s="22">
        <f t="shared" si="9"/>
        <v>3327</v>
      </c>
      <c r="D33" s="22">
        <f t="shared" si="9"/>
        <v>3054</v>
      </c>
      <c r="E33" s="22">
        <f t="shared" si="9"/>
        <v>3288</v>
      </c>
      <c r="F33" s="22">
        <f t="shared" si="9"/>
        <v>3478</v>
      </c>
      <c r="G33" s="22">
        <f t="shared" si="9"/>
        <v>4125</v>
      </c>
      <c r="H33" s="22">
        <f t="shared" si="9"/>
        <v>4347</v>
      </c>
      <c r="I33" s="22">
        <f t="shared" ref="I33:J33" si="10">SUM(I25:I32)</f>
        <v>5297</v>
      </c>
      <c r="J33" s="22">
        <f t="shared" si="10"/>
        <v>6301</v>
      </c>
      <c r="K33" s="22">
        <f t="shared" ref="K33:L33" si="11">SUM(K25:K32)</f>
        <v>7516</v>
      </c>
      <c r="L33" s="22">
        <f t="shared" si="11"/>
        <v>8671</v>
      </c>
      <c r="M33" s="74">
        <f t="shared" si="9"/>
        <v>9859</v>
      </c>
    </row>
    <row r="34" spans="1:13" x14ac:dyDescent="0.3">
      <c r="A34" s="14" t="s">
        <v>91</v>
      </c>
      <c r="B34" s="22">
        <f t="shared" ref="B34:M34" si="12">B24+B33</f>
        <v>10544</v>
      </c>
      <c r="C34" s="22">
        <f t="shared" si="12"/>
        <v>9633</v>
      </c>
      <c r="D34" s="22">
        <f t="shared" si="12"/>
        <v>9060</v>
      </c>
      <c r="E34" s="22">
        <f t="shared" si="12"/>
        <v>9470</v>
      </c>
      <c r="F34" s="22">
        <f t="shared" si="12"/>
        <v>10648</v>
      </c>
      <c r="G34" s="22">
        <f t="shared" si="12"/>
        <v>13127</v>
      </c>
      <c r="H34" s="22">
        <f t="shared" si="12"/>
        <v>15114</v>
      </c>
      <c r="I34" s="22">
        <f t="shared" ref="I34:J34" si="13">I24+I33</f>
        <v>17698</v>
      </c>
      <c r="J34" s="22">
        <f t="shared" si="13"/>
        <v>21883</v>
      </c>
      <c r="K34" s="22">
        <f t="shared" ref="K34:L34" si="14">K24+K33</f>
        <v>27759</v>
      </c>
      <c r="L34" s="22">
        <f t="shared" si="14"/>
        <v>28913</v>
      </c>
      <c r="M34" s="74">
        <f t="shared" si="12"/>
        <v>30300</v>
      </c>
    </row>
    <row r="35" spans="1:13" x14ac:dyDescent="0.3">
      <c r="A35" s="31" t="s">
        <v>92</v>
      </c>
      <c r="B35" s="32">
        <v>0</v>
      </c>
      <c r="C35" s="32"/>
      <c r="D35" s="32"/>
      <c r="E35" s="32"/>
      <c r="F35" s="32"/>
      <c r="G35" s="32"/>
      <c r="H35" s="32"/>
      <c r="I35" s="32"/>
      <c r="J35" s="32">
        <v>408</v>
      </c>
      <c r="K35" s="32">
        <f>587</f>
        <v>587</v>
      </c>
      <c r="L35" s="32">
        <f>1244</f>
        <v>1244</v>
      </c>
      <c r="M35" s="58">
        <f>SUMIFS('Interim Balance Sheet Reported'!$B35:$XFD35,'Interim Balance Sheet Reported'!$B$3:$XFD$3, "="&amp;'Balance Sheet Reported'!M$3)</f>
        <v>518</v>
      </c>
    </row>
    <row r="36" spans="1:13" x14ac:dyDescent="0.3">
      <c r="A36" s="31" t="s">
        <v>93</v>
      </c>
      <c r="B36" s="32">
        <v>505</v>
      </c>
      <c r="C36" s="32">
        <v>424</v>
      </c>
      <c r="D36" s="32">
        <v>506</v>
      </c>
      <c r="E36" s="32">
        <v>374</v>
      </c>
      <c r="F36" s="32">
        <v>484</v>
      </c>
      <c r="G36" s="32">
        <v>524</v>
      </c>
      <c r="H36" s="32">
        <v>707</v>
      </c>
      <c r="I36" s="32">
        <v>671</v>
      </c>
      <c r="J36" s="32">
        <f>438+187+15</f>
        <v>640</v>
      </c>
      <c r="K36" s="32">
        <f>418+185+28</f>
        <v>631</v>
      </c>
      <c r="L36" s="32">
        <f>340+179+25</f>
        <v>544</v>
      </c>
      <c r="M36" s="58">
        <f>SUMIFS('Interim Balance Sheet Reported'!$B36:$XFD36,'Interim Balance Sheet Reported'!$B$3:$XFD$3, "="&amp;'Balance Sheet Reported'!M$3)</f>
        <v>497</v>
      </c>
    </row>
    <row r="37" spans="1:13" x14ac:dyDescent="0.3">
      <c r="A37" s="31" t="s">
        <v>94</v>
      </c>
      <c r="B37" s="32"/>
      <c r="C37" s="32"/>
      <c r="D37" s="32"/>
      <c r="E37" s="32"/>
      <c r="F37" s="32"/>
      <c r="G37" s="32"/>
      <c r="H37" s="32"/>
      <c r="I37" s="32"/>
      <c r="J37" s="32"/>
      <c r="K37" s="32"/>
      <c r="L37" s="32"/>
      <c r="M37" s="58">
        <f>SUMIFS('Interim Balance Sheet Reported'!$B37:$XFD37,'Interim Balance Sheet Reported'!$B$3:$XFD$3, "="&amp;'Balance Sheet Reported'!M$3)</f>
        <v>0</v>
      </c>
    </row>
    <row r="38" spans="1:13" x14ac:dyDescent="0.3">
      <c r="A38" s="31" t="s">
        <v>95</v>
      </c>
      <c r="B38" s="32">
        <v>1182</v>
      </c>
      <c r="C38" s="32">
        <v>1175</v>
      </c>
      <c r="D38" s="32">
        <v>1161</v>
      </c>
      <c r="E38" s="32">
        <v>1129</v>
      </c>
      <c r="F38" s="32">
        <v>1259</v>
      </c>
      <c r="G38" s="32">
        <v>1487</v>
      </c>
      <c r="H38" s="32">
        <v>1644</v>
      </c>
      <c r="I38" s="32">
        <v>1961</v>
      </c>
      <c r="J38" s="32">
        <v>1911</v>
      </c>
      <c r="K38" s="32">
        <v>2456</v>
      </c>
      <c r="L38" s="32">
        <v>2465</v>
      </c>
      <c r="M38" s="58">
        <f>SUMIFS('Interim Balance Sheet Reported'!$B38:$XFD38,'Interim Balance Sheet Reported'!$B$3:$XFD$3, "="&amp;'Balance Sheet Reported'!M$3)</f>
        <v>2341</v>
      </c>
    </row>
    <row r="39" spans="1:13" x14ac:dyDescent="0.3">
      <c r="A39" s="31" t="s">
        <v>96</v>
      </c>
      <c r="B39" s="32"/>
      <c r="C39" s="32"/>
      <c r="D39" s="32"/>
      <c r="E39" s="32"/>
      <c r="F39" s="32"/>
      <c r="G39" s="32"/>
      <c r="H39" s="32"/>
      <c r="I39" s="32"/>
      <c r="J39" s="32"/>
      <c r="K39" s="32"/>
      <c r="L39" s="32">
        <v>572</v>
      </c>
      <c r="M39" s="58">
        <f>SUMIFS('Interim Balance Sheet Reported'!$B39:$XFD39,'Interim Balance Sheet Reported'!$B$3:$XFD$3, "="&amp;'Balance Sheet Reported'!M$3)</f>
        <v>861</v>
      </c>
    </row>
    <row r="40" spans="1:13" x14ac:dyDescent="0.3">
      <c r="A40" s="31" t="s">
        <v>97</v>
      </c>
      <c r="B40" s="32">
        <v>1375</v>
      </c>
      <c r="C40" s="32">
        <v>1554</v>
      </c>
      <c r="D40" s="32">
        <v>1599</v>
      </c>
      <c r="E40" s="32">
        <v>1687</v>
      </c>
      <c r="F40" s="32">
        <v>1794</v>
      </c>
      <c r="G40" s="32">
        <v>1818</v>
      </c>
      <c r="H40" s="32">
        <v>2073</v>
      </c>
      <c r="I40" s="32">
        <v>2428</v>
      </c>
      <c r="J40" s="32">
        <v>2717</v>
      </c>
      <c r="K40" s="32">
        <f>2939+1162</f>
        <v>4101</v>
      </c>
      <c r="L40" s="32">
        <v>2314</v>
      </c>
      <c r="M40" s="58">
        <f>SUMIFS('Interim Balance Sheet Reported'!$B40:$XFD40,'Interim Balance Sheet Reported'!$B$3:$XFD$3, "="&amp;'Balance Sheet Reported'!M$3)</f>
        <v>1932</v>
      </c>
    </row>
    <row r="41" spans="1:13" x14ac:dyDescent="0.3">
      <c r="A41" s="31" t="s">
        <v>98</v>
      </c>
      <c r="B41" s="32"/>
      <c r="C41" s="32"/>
      <c r="D41" s="32"/>
      <c r="E41" s="32"/>
      <c r="F41" s="32"/>
      <c r="G41" s="32"/>
      <c r="H41" s="32"/>
      <c r="I41" s="32"/>
      <c r="J41" s="32"/>
      <c r="K41" s="32"/>
      <c r="L41" s="32"/>
      <c r="M41" s="58">
        <f>SUMIFS('Interim Balance Sheet Reported'!$B41:$XFD41,'Interim Balance Sheet Reported'!$B$3:$XFD$3, "="&amp;'Balance Sheet Reported'!M$3)</f>
        <v>0</v>
      </c>
    </row>
    <row r="42" spans="1:13" x14ac:dyDescent="0.3">
      <c r="A42" s="31" t="s">
        <v>99</v>
      </c>
      <c r="B42" s="36"/>
      <c r="C42" s="36"/>
      <c r="D42" s="36"/>
      <c r="E42" s="36"/>
      <c r="F42" s="36"/>
      <c r="G42" s="36"/>
      <c r="H42" s="36"/>
      <c r="I42" s="36"/>
      <c r="J42" s="36"/>
      <c r="K42" s="36"/>
      <c r="L42" s="36"/>
      <c r="M42" s="60">
        <f>SUMIFS('Interim Balance Sheet Reported'!$B42:$XFD42,'Interim Balance Sheet Reported'!$B$3:$XFD$3, "="&amp;'Balance Sheet Reported'!M$3)</f>
        <v>0</v>
      </c>
    </row>
    <row r="43" spans="1:13" x14ac:dyDescent="0.3">
      <c r="A43" s="14" t="s">
        <v>100</v>
      </c>
      <c r="B43" s="22">
        <f t="shared" ref="B43:M43" si="15">SUM(B35:B42)</f>
        <v>3062</v>
      </c>
      <c r="C43" s="22">
        <f t="shared" si="15"/>
        <v>3153</v>
      </c>
      <c r="D43" s="22">
        <f t="shared" si="15"/>
        <v>3266</v>
      </c>
      <c r="E43" s="22">
        <f t="shared" si="15"/>
        <v>3190</v>
      </c>
      <c r="F43" s="22">
        <f t="shared" si="15"/>
        <v>3537</v>
      </c>
      <c r="G43" s="22">
        <f t="shared" si="15"/>
        <v>3829</v>
      </c>
      <c r="H43" s="22">
        <f t="shared" si="15"/>
        <v>4424</v>
      </c>
      <c r="I43" s="22">
        <f t="shared" ref="I43:J43" si="16">SUM(I35:I42)</f>
        <v>5060</v>
      </c>
      <c r="J43" s="22">
        <f t="shared" si="16"/>
        <v>5676</v>
      </c>
      <c r="K43" s="22">
        <f t="shared" ref="K43:L43" si="17">SUM(K35:K42)</f>
        <v>7775</v>
      </c>
      <c r="L43" s="22">
        <f t="shared" si="17"/>
        <v>7139</v>
      </c>
      <c r="M43" s="74">
        <f t="shared" si="15"/>
        <v>6149</v>
      </c>
    </row>
    <row r="44" spans="1:13" x14ac:dyDescent="0.3">
      <c r="A44" s="14" t="s">
        <v>254</v>
      </c>
      <c r="B44" s="22">
        <f t="shared" ref="B44:M44" si="18">B33-B43</f>
        <v>383</v>
      </c>
      <c r="C44" s="22">
        <f t="shared" si="18"/>
        <v>174</v>
      </c>
      <c r="D44" s="22">
        <f t="shared" si="18"/>
        <v>-212</v>
      </c>
      <c r="E44" s="22">
        <f t="shared" si="18"/>
        <v>98</v>
      </c>
      <c r="F44" s="22">
        <f t="shared" si="18"/>
        <v>-59</v>
      </c>
      <c r="G44" s="22">
        <f t="shared" si="18"/>
        <v>296</v>
      </c>
      <c r="H44" s="22">
        <f t="shared" si="18"/>
        <v>-77</v>
      </c>
      <c r="I44" s="22">
        <f t="shared" ref="I44:J44" si="19">I33-I43</f>
        <v>237</v>
      </c>
      <c r="J44" s="22">
        <f t="shared" si="19"/>
        <v>625</v>
      </c>
      <c r="K44" s="22">
        <f t="shared" ref="K44:L44" si="20">K33-K43</f>
        <v>-259</v>
      </c>
      <c r="L44" s="22">
        <f t="shared" si="20"/>
        <v>1532</v>
      </c>
      <c r="M44" s="74">
        <f t="shared" si="18"/>
        <v>3710</v>
      </c>
    </row>
    <row r="45" spans="1:13" x14ac:dyDescent="0.3">
      <c r="A45" s="31" t="s">
        <v>101</v>
      </c>
      <c r="B45" s="32">
        <v>3952</v>
      </c>
      <c r="C45" s="32">
        <v>3906</v>
      </c>
      <c r="D45" s="32">
        <v>3449</v>
      </c>
      <c r="E45" s="32">
        <v>3959</v>
      </c>
      <c r="F45" s="32">
        <v>4732</v>
      </c>
      <c r="G45" s="32">
        <v>5870</v>
      </c>
      <c r="H45" s="32">
        <v>5911</v>
      </c>
      <c r="I45" s="32">
        <v>5448</v>
      </c>
      <c r="J45" s="32">
        <f>8873-J46</f>
        <v>6057</v>
      </c>
      <c r="K45" s="32">
        <f>8024-K46</f>
        <v>5196</v>
      </c>
      <c r="L45" s="32">
        <f>11201-L46</f>
        <v>8149</v>
      </c>
      <c r="M45" s="58">
        <f>SUMIFS('Interim Balance Sheet Reported'!$B45:$XFD45,'Interim Balance Sheet Reported'!$B$3:$XFD$3, "="&amp;'Balance Sheet Reported'!M$3)</f>
        <v>12860</v>
      </c>
    </row>
    <row r="46" spans="1:13" x14ac:dyDescent="0.3">
      <c r="A46" s="31" t="s">
        <v>102</v>
      </c>
      <c r="B46" s="32"/>
      <c r="C46" s="32"/>
      <c r="D46" s="32"/>
      <c r="E46" s="32"/>
      <c r="F46" s="32"/>
      <c r="G46" s="32"/>
      <c r="H46" s="32"/>
      <c r="I46" s="32"/>
      <c r="J46" s="32">
        <f>1926-438+1233-187+297-15</f>
        <v>2816</v>
      </c>
      <c r="K46" s="32">
        <f>1924-418+1149-185+386-28</f>
        <v>2828</v>
      </c>
      <c r="L46" s="32">
        <f>3596-L36</f>
        <v>3052</v>
      </c>
      <c r="M46" s="58">
        <f>SUMIFS('Interim Balance Sheet Reported'!$B46:$XFD46,'Interim Balance Sheet Reported'!$B$3:$XFD$3, "="&amp;'Balance Sheet Reported'!M$3)</f>
        <v>2807</v>
      </c>
    </row>
    <row r="47" spans="1:13" x14ac:dyDescent="0.3">
      <c r="A47" s="31" t="s">
        <v>103</v>
      </c>
      <c r="B47" s="32"/>
      <c r="C47" s="32"/>
      <c r="D47" s="32"/>
      <c r="E47" s="32"/>
      <c r="F47" s="32"/>
      <c r="G47" s="32"/>
      <c r="H47" s="32"/>
      <c r="I47" s="32"/>
      <c r="J47" s="32"/>
      <c r="K47" s="32"/>
      <c r="L47" s="32"/>
      <c r="M47" s="58">
        <f>SUMIFS('Interim Balance Sheet Reported'!$B47:$XFD47,'Interim Balance Sheet Reported'!$B$3:$XFD$3, "="&amp;'Balance Sheet Reported'!M$3)</f>
        <v>0</v>
      </c>
    </row>
    <row r="48" spans="1:13" x14ac:dyDescent="0.3">
      <c r="A48" s="31" t="s">
        <v>104</v>
      </c>
      <c r="B48" s="36"/>
      <c r="C48" s="36"/>
      <c r="D48" s="36"/>
      <c r="E48" s="36"/>
      <c r="F48" s="36"/>
      <c r="G48" s="36"/>
      <c r="H48" s="36"/>
      <c r="I48" s="36"/>
      <c r="J48" s="36"/>
      <c r="K48" s="36"/>
      <c r="L48" s="36"/>
      <c r="M48" s="60">
        <f>SUMIFS('Interim Balance Sheet Reported'!$B48:$XFD48,'Interim Balance Sheet Reported'!$B$3:$XFD$3, "="&amp;'Balance Sheet Reported'!M$3)</f>
        <v>0</v>
      </c>
    </row>
    <row r="49" spans="1:13" x14ac:dyDescent="0.3">
      <c r="A49" s="14" t="s">
        <v>105</v>
      </c>
      <c r="B49" s="22">
        <f t="shared" ref="B49:M49" si="21">SUM(B45:B48)</f>
        <v>3952</v>
      </c>
      <c r="C49" s="22">
        <f t="shared" si="21"/>
        <v>3906</v>
      </c>
      <c r="D49" s="22">
        <f t="shared" si="21"/>
        <v>3449</v>
      </c>
      <c r="E49" s="22">
        <f t="shared" si="21"/>
        <v>3959</v>
      </c>
      <c r="F49" s="22">
        <f t="shared" si="21"/>
        <v>4732</v>
      </c>
      <c r="G49" s="22">
        <f t="shared" si="21"/>
        <v>5870</v>
      </c>
      <c r="H49" s="22">
        <f t="shared" si="21"/>
        <v>5911</v>
      </c>
      <c r="I49" s="22">
        <f t="shared" ref="I49:K49" si="22">SUM(I45:I48)</f>
        <v>5448</v>
      </c>
      <c r="J49" s="22">
        <f t="shared" si="22"/>
        <v>8873</v>
      </c>
      <c r="K49" s="22">
        <f t="shared" si="22"/>
        <v>8024</v>
      </c>
      <c r="L49" s="22">
        <f t="shared" ref="L49" si="23">SUM(L45:L48)</f>
        <v>11201</v>
      </c>
      <c r="M49" s="74">
        <f t="shared" si="21"/>
        <v>15667</v>
      </c>
    </row>
    <row r="50" spans="1:13" x14ac:dyDescent="0.3">
      <c r="A50" s="31" t="s">
        <v>106</v>
      </c>
      <c r="B50" s="32"/>
      <c r="C50" s="32"/>
      <c r="D50" s="32"/>
      <c r="E50" s="32"/>
      <c r="F50" s="32"/>
      <c r="G50" s="32"/>
      <c r="H50" s="32"/>
      <c r="I50" s="32"/>
      <c r="J50" s="32">
        <v>52</v>
      </c>
      <c r="K50" s="32">
        <v>73</v>
      </c>
      <c r="L50" s="32">
        <v>75</v>
      </c>
      <c r="M50" s="58">
        <f>SUMIFS('Interim Balance Sheet Reported'!$B50:$XFD50,'Interim Balance Sheet Reported'!$B$3:$XFD$3, "="&amp;'Balance Sheet Reported'!M$3)</f>
        <v>75</v>
      </c>
    </row>
    <row r="51" spans="1:13" x14ac:dyDescent="0.3">
      <c r="A51" s="31" t="s">
        <v>107</v>
      </c>
      <c r="B51" s="32"/>
      <c r="C51" s="32"/>
      <c r="D51" s="32"/>
      <c r="E51" s="32"/>
      <c r="F51" s="32"/>
      <c r="G51" s="32"/>
      <c r="H51" s="32"/>
      <c r="I51" s="32"/>
      <c r="J51" s="32"/>
      <c r="K51" s="32"/>
      <c r="L51" s="32"/>
      <c r="M51" s="58">
        <f>SUMIFS('Interim Balance Sheet Reported'!$B51:$XFD51,'Interim Balance Sheet Reported'!$B$3:$XFD$3, "="&amp;'Balance Sheet Reported'!M$3)</f>
        <v>0</v>
      </c>
    </row>
    <row r="52" spans="1:13" x14ac:dyDescent="0.3">
      <c r="A52" s="31" t="s">
        <v>108</v>
      </c>
      <c r="B52" s="32"/>
      <c r="C52" s="32"/>
      <c r="D52" s="32"/>
      <c r="E52" s="32"/>
      <c r="F52" s="32"/>
      <c r="G52" s="32"/>
      <c r="H52" s="32"/>
      <c r="I52" s="32"/>
      <c r="J52" s="32"/>
      <c r="K52" s="32">
        <v>3136</v>
      </c>
      <c r="L52" s="32">
        <v>4032</v>
      </c>
      <c r="M52" s="58">
        <f>SUMIFS('Interim Balance Sheet Reported'!$B52:$XFD52,'Interim Balance Sheet Reported'!$B$3:$XFD$3, "="&amp;'Balance Sheet Reported'!M$3)</f>
        <v>3771</v>
      </c>
    </row>
    <row r="53" spans="1:13" x14ac:dyDescent="0.3">
      <c r="A53" s="31" t="s">
        <v>109</v>
      </c>
      <c r="B53" s="32"/>
      <c r="C53" s="32"/>
      <c r="D53" s="32"/>
      <c r="E53" s="32"/>
      <c r="F53" s="32"/>
      <c r="G53" s="32"/>
      <c r="H53" s="32"/>
      <c r="I53" s="32"/>
      <c r="J53" s="32"/>
      <c r="K53" s="32"/>
      <c r="L53" s="32"/>
      <c r="M53" s="58">
        <f>SUMIFS('Interim Balance Sheet Reported'!$B53:$XFD53,'Interim Balance Sheet Reported'!$B$3:$XFD$3, "="&amp;'Balance Sheet Reported'!M$3)</f>
        <v>0</v>
      </c>
    </row>
    <row r="54" spans="1:13" x14ac:dyDescent="0.3">
      <c r="A54" s="31" t="s">
        <v>110</v>
      </c>
      <c r="B54" s="32">
        <v>1059</v>
      </c>
      <c r="C54" s="32">
        <v>5563</v>
      </c>
      <c r="D54" s="32">
        <v>4689</v>
      </c>
      <c r="E54" s="32">
        <v>2687</v>
      </c>
      <c r="F54" s="32">
        <v>2403</v>
      </c>
      <c r="G54" s="32">
        <v>2245</v>
      </c>
      <c r="H54" s="32">
        <v>2436</v>
      </c>
      <c r="I54" s="32">
        <v>2592</v>
      </c>
      <c r="J54" s="32">
        <v>2547</v>
      </c>
      <c r="K54" s="32">
        <v>2930</v>
      </c>
      <c r="L54" s="32">
        <v>3015</v>
      </c>
      <c r="M54" s="58">
        <f>SUMIFS('Interim Balance Sheet Reported'!$B54:$XFD54,'Interim Balance Sheet Reported'!$B$3:$XFD$3, "="&amp;'Balance Sheet Reported'!M$3)</f>
        <v>2551</v>
      </c>
    </row>
    <row r="55" spans="1:13" x14ac:dyDescent="0.3">
      <c r="A55" s="31" t="s">
        <v>111</v>
      </c>
      <c r="B55" s="32"/>
      <c r="C55" s="32">
        <v>548</v>
      </c>
      <c r="D55" s="32">
        <v>571</v>
      </c>
      <c r="E55" s="32">
        <v>656</v>
      </c>
      <c r="F55" s="32">
        <v>796</v>
      </c>
      <c r="G55" s="32">
        <v>892</v>
      </c>
      <c r="H55" s="32">
        <v>922</v>
      </c>
      <c r="I55" s="32">
        <v>1003</v>
      </c>
      <c r="J55" s="32">
        <v>1307</v>
      </c>
      <c r="K55" s="32">
        <v>1240</v>
      </c>
      <c r="L55" s="32">
        <f>1040</f>
        <v>1040</v>
      </c>
      <c r="M55" s="58">
        <f>SUMIFS('Interim Balance Sheet Reported'!$B55:$XFD55,'Interim Balance Sheet Reported'!$B$3:$XFD$3, "="&amp;'Balance Sheet Reported'!M$3)</f>
        <v>968</v>
      </c>
    </row>
    <row r="56" spans="1:13" x14ac:dyDescent="0.3">
      <c r="A56" s="31" t="s">
        <v>112</v>
      </c>
      <c r="B56" s="36">
        <f>80+482</f>
        <v>562</v>
      </c>
      <c r="C56" s="36">
        <v>469</v>
      </c>
      <c r="D56" s="36">
        <v>427</v>
      </c>
      <c r="E56" s="36">
        <v>375</v>
      </c>
      <c r="F56" s="36">
        <v>313</v>
      </c>
      <c r="G56" s="36">
        <v>251</v>
      </c>
      <c r="H56" s="36">
        <v>202</v>
      </c>
      <c r="I56" s="36">
        <v>216</v>
      </c>
      <c r="J56" s="36">
        <v>151</v>
      </c>
      <c r="K56" s="36">
        <v>181</v>
      </c>
      <c r="L56" s="36">
        <v>696</v>
      </c>
      <c r="M56" s="60">
        <f>SUMIFS('Interim Balance Sheet Reported'!$B56:$XFD56,'Interim Balance Sheet Reported'!$B$3:$XFD$3, "="&amp;'Balance Sheet Reported'!M$3)</f>
        <v>974</v>
      </c>
    </row>
    <row r="57" spans="1:13" x14ac:dyDescent="0.3">
      <c r="A57" s="14" t="s">
        <v>113</v>
      </c>
      <c r="B57" s="22">
        <f t="shared" ref="B57:M57" si="24">SUM(B50:B56)</f>
        <v>1621</v>
      </c>
      <c r="C57" s="22">
        <f t="shared" si="24"/>
        <v>6580</v>
      </c>
      <c r="D57" s="22">
        <f t="shared" si="24"/>
        <v>5687</v>
      </c>
      <c r="E57" s="22">
        <f t="shared" si="24"/>
        <v>3718</v>
      </c>
      <c r="F57" s="22">
        <f t="shared" si="24"/>
        <v>3512</v>
      </c>
      <c r="G57" s="22">
        <f t="shared" si="24"/>
        <v>3388</v>
      </c>
      <c r="H57" s="22">
        <f t="shared" si="24"/>
        <v>3560</v>
      </c>
      <c r="I57" s="22">
        <f t="shared" ref="I57:J57" si="25">SUM(I50:I56)</f>
        <v>3811</v>
      </c>
      <c r="J57" s="22">
        <f t="shared" si="25"/>
        <v>4057</v>
      </c>
      <c r="K57" s="22">
        <f t="shared" ref="K57:L57" si="26">SUM(K50:K56)</f>
        <v>7560</v>
      </c>
      <c r="L57" s="22">
        <f t="shared" si="26"/>
        <v>8858</v>
      </c>
      <c r="M57" s="74">
        <f t="shared" si="24"/>
        <v>8339</v>
      </c>
    </row>
    <row r="58" spans="1:13" ht="15" thickBot="1" x14ac:dyDescent="0.35">
      <c r="A58" s="14" t="s">
        <v>255</v>
      </c>
      <c r="B58" s="24">
        <f t="shared" ref="B58:M58" si="27">B34-B43-B49-B57</f>
        <v>1909</v>
      </c>
      <c r="C58" s="24">
        <f t="shared" si="27"/>
        <v>-4006</v>
      </c>
      <c r="D58" s="24">
        <f t="shared" si="27"/>
        <v>-3342</v>
      </c>
      <c r="E58" s="24">
        <f t="shared" si="27"/>
        <v>-1397</v>
      </c>
      <c r="F58" s="24">
        <f t="shared" si="27"/>
        <v>-1133</v>
      </c>
      <c r="G58" s="24">
        <f t="shared" si="27"/>
        <v>40</v>
      </c>
      <c r="H58" s="24">
        <f t="shared" si="27"/>
        <v>1219</v>
      </c>
      <c r="I58" s="24">
        <f t="shared" ref="I58:J58" si="28">I34-I43-I49-I57</f>
        <v>3379</v>
      </c>
      <c r="J58" s="24">
        <f t="shared" si="28"/>
        <v>3277</v>
      </c>
      <c r="K58" s="24">
        <f t="shared" ref="K58:L58" si="29">K34-K43-K49-K57</f>
        <v>4400</v>
      </c>
      <c r="L58" s="24">
        <f t="shared" si="29"/>
        <v>1715</v>
      </c>
      <c r="M58" s="76">
        <f t="shared" si="27"/>
        <v>145</v>
      </c>
    </row>
    <row r="59" spans="1:13" ht="15" thickTop="1" x14ac:dyDescent="0.3">
      <c r="A59" s="31" t="s">
        <v>114</v>
      </c>
      <c r="B59" s="32">
        <v>534</v>
      </c>
      <c r="C59" s="32">
        <v>840</v>
      </c>
      <c r="D59" s="32">
        <v>813</v>
      </c>
      <c r="E59" s="32">
        <v>827</v>
      </c>
      <c r="F59" s="32">
        <v>835</v>
      </c>
      <c r="G59" s="32">
        <v>825</v>
      </c>
      <c r="H59" s="32">
        <v>797</v>
      </c>
      <c r="I59" s="32">
        <v>799</v>
      </c>
      <c r="J59" s="32">
        <v>798</v>
      </c>
      <c r="K59" s="32">
        <v>785</v>
      </c>
      <c r="L59" s="32">
        <v>2150</v>
      </c>
      <c r="M59" s="58">
        <f>SUMIFS('Interim Balance Sheet Reported'!$B59:$XFD59,'Interim Balance Sheet Reported'!$B$3:$XFD$3, "="&amp;'Balance Sheet Reported'!M$3)</f>
        <v>2734</v>
      </c>
    </row>
    <row r="60" spans="1:13" x14ac:dyDescent="0.3">
      <c r="A60" s="31" t="s">
        <v>115</v>
      </c>
      <c r="B60" s="32"/>
      <c r="C60" s="32"/>
      <c r="D60" s="32"/>
      <c r="E60" s="32"/>
      <c r="F60" s="32"/>
      <c r="G60" s="32"/>
      <c r="H60" s="32"/>
      <c r="I60" s="32"/>
      <c r="J60" s="32"/>
      <c r="K60" s="32"/>
      <c r="L60" s="32"/>
      <c r="M60" s="58">
        <f>SUMIFS('Interim Balance Sheet Reported'!$B60:$XFD60,'Interim Balance Sheet Reported'!$B$3:$XFD$3, "="&amp;'Balance Sheet Reported'!M$3)</f>
        <v>0</v>
      </c>
    </row>
    <row r="61" spans="1:13" x14ac:dyDescent="0.3">
      <c r="A61" s="31" t="s">
        <v>116</v>
      </c>
      <c r="B61" s="32">
        <v>169</v>
      </c>
      <c r="C61" s="32">
        <v>79</v>
      </c>
      <c r="D61" s="32">
        <v>64</v>
      </c>
      <c r="E61" s="32">
        <v>63</v>
      </c>
      <c r="F61" s="32">
        <v>68</v>
      </c>
      <c r="G61" s="32">
        <v>27</v>
      </c>
      <c r="H61" s="32">
        <v>0</v>
      </c>
      <c r="I61" s="32"/>
      <c r="J61" s="32"/>
      <c r="K61" s="32"/>
      <c r="L61" s="32"/>
      <c r="M61" s="58">
        <f>SUMIFS('Interim Balance Sheet Reported'!$B61:$XFD61,'Interim Balance Sheet Reported'!$B$3:$XFD$3, "="&amp;'Balance Sheet Reported'!M$3)</f>
        <v>0</v>
      </c>
    </row>
    <row r="62" spans="1:13" x14ac:dyDescent="0.3">
      <c r="A62" s="31" t="s">
        <v>117</v>
      </c>
      <c r="B62" s="32">
        <v>1826</v>
      </c>
      <c r="C62" s="32">
        <v>58</v>
      </c>
      <c r="D62" s="32">
        <v>62</v>
      </c>
      <c r="E62" s="32">
        <v>80</v>
      </c>
      <c r="F62" s="32">
        <v>77</v>
      </c>
      <c r="G62" s="32">
        <v>76</v>
      </c>
      <c r="H62" s="32">
        <v>83</v>
      </c>
      <c r="I62" s="32">
        <v>69</v>
      </c>
      <c r="J62" s="32">
        <v>75</v>
      </c>
      <c r="K62" s="32">
        <v>83</v>
      </c>
      <c r="L62" s="32">
        <v>98</v>
      </c>
      <c r="M62" s="58">
        <f>SUMIFS('Interim Balance Sheet Reported'!$B62:$XFD62,'Interim Balance Sheet Reported'!$B$3:$XFD$3, "="&amp;'Balance Sheet Reported'!M$3)</f>
        <v>102</v>
      </c>
    </row>
    <row r="63" spans="1:13" x14ac:dyDescent="0.3">
      <c r="A63" s="31" t="s">
        <v>118</v>
      </c>
      <c r="B63" s="32">
        <v>-620</v>
      </c>
      <c r="C63" s="32">
        <v>-4983</v>
      </c>
      <c r="D63" s="32">
        <v>-4281</v>
      </c>
      <c r="E63" s="32">
        <v>-2367</v>
      </c>
      <c r="F63" s="32">
        <v>-2113</v>
      </c>
      <c r="G63" s="32">
        <v>-877</v>
      </c>
      <c r="H63" s="32">
        <v>336</v>
      </c>
      <c r="I63" s="32">
        <v>2511</v>
      </c>
      <c r="J63" s="32">
        <v>2404</v>
      </c>
      <c r="K63" s="32">
        <v>3507</v>
      </c>
      <c r="L63" s="32">
        <v>-494</v>
      </c>
      <c r="M63" s="58">
        <f>SUMIFS('Interim Balance Sheet Reported'!$B63:$XFD63,'Interim Balance Sheet Reported'!$B$3:$XFD$3, "="&amp;'Balance Sheet Reported'!M$3)</f>
        <v>-2653</v>
      </c>
    </row>
    <row r="64" spans="1:13" x14ac:dyDescent="0.3">
      <c r="A64" s="31" t="s">
        <v>119</v>
      </c>
      <c r="B64" s="32"/>
      <c r="C64" s="32"/>
      <c r="D64" s="32"/>
      <c r="E64" s="32"/>
      <c r="F64" s="32"/>
      <c r="G64" s="32">
        <v>-11</v>
      </c>
      <c r="H64" s="32">
        <v>3</v>
      </c>
      <c r="I64" s="32"/>
      <c r="J64" s="32"/>
      <c r="K64" s="32">
        <v>25</v>
      </c>
      <c r="L64" s="32">
        <v>-39</v>
      </c>
      <c r="M64" s="58">
        <f>SUMIFS('Interim Balance Sheet Reported'!$B64:$XFD64,'Interim Balance Sheet Reported'!$B$3:$XFD$3, "="&amp;'Balance Sheet Reported'!M$3)</f>
        <v>-38</v>
      </c>
    </row>
    <row r="65" spans="1:13" x14ac:dyDescent="0.3">
      <c r="A65" s="31" t="s">
        <v>120</v>
      </c>
      <c r="B65" s="32"/>
      <c r="C65" s="32"/>
      <c r="D65" s="32"/>
      <c r="E65" s="32"/>
      <c r="F65" s="32"/>
      <c r="G65" s="32"/>
      <c r="H65" s="32"/>
      <c r="I65" s="32"/>
      <c r="J65" s="32"/>
      <c r="K65" s="32"/>
      <c r="L65" s="32"/>
      <c r="M65" s="58">
        <f>SUMIFS('Interim Balance Sheet Reported'!$B65:$XFD65,'Interim Balance Sheet Reported'!$B$3:$XFD$3, "="&amp;'Balance Sheet Reported'!M$3)</f>
        <v>0</v>
      </c>
    </row>
    <row r="66" spans="1:13" ht="15" thickBot="1" x14ac:dyDescent="0.35">
      <c r="A66" s="14" t="s">
        <v>121</v>
      </c>
      <c r="B66" s="24">
        <f>SUM(B59:B65)</f>
        <v>1909</v>
      </c>
      <c r="C66" s="24">
        <f t="shared" ref="C66:M66" si="30">SUM(C59:C65)</f>
        <v>-4006</v>
      </c>
      <c r="D66" s="24">
        <f t="shared" si="30"/>
        <v>-3342</v>
      </c>
      <c r="E66" s="24">
        <f t="shared" si="30"/>
        <v>-1397</v>
      </c>
      <c r="F66" s="24">
        <f t="shared" si="30"/>
        <v>-1133</v>
      </c>
      <c r="G66" s="24">
        <f t="shared" si="30"/>
        <v>40</v>
      </c>
      <c r="H66" s="24">
        <f t="shared" si="30"/>
        <v>1219</v>
      </c>
      <c r="I66" s="24">
        <f t="shared" ref="I66:K66" si="31">SUM(I59:I65)</f>
        <v>3379</v>
      </c>
      <c r="J66" s="24">
        <f t="shared" si="31"/>
        <v>3277</v>
      </c>
      <c r="K66" s="24">
        <f t="shared" si="31"/>
        <v>4400</v>
      </c>
      <c r="L66" s="24">
        <f t="shared" ref="L66" si="32">SUM(L59:L65)</f>
        <v>1715</v>
      </c>
      <c r="M66" s="76">
        <f t="shared" si="30"/>
        <v>145</v>
      </c>
    </row>
    <row r="67" spans="1:13" ht="15" thickTop="1" x14ac:dyDescent="0.3">
      <c r="A67" s="14"/>
      <c r="B67" s="51"/>
      <c r="C67" s="51"/>
      <c r="D67" s="51"/>
      <c r="E67" s="51"/>
      <c r="F67" s="51"/>
      <c r="G67" s="51"/>
      <c r="H67" s="51"/>
      <c r="I67" s="51"/>
      <c r="J67" s="51"/>
      <c r="K67" s="51"/>
      <c r="L67" s="51"/>
      <c r="M67" s="259"/>
    </row>
    <row r="68" spans="1:13" ht="15" thickBot="1" x14ac:dyDescent="0.35">
      <c r="A68" s="14" t="s">
        <v>469</v>
      </c>
      <c r="B68" s="24">
        <f>B34+B73</f>
        <v>12966</v>
      </c>
      <c r="C68" s="24">
        <f t="shared" ref="C68:M68" si="33">C34+C73</f>
        <v>11978</v>
      </c>
      <c r="D68" s="24">
        <f t="shared" si="33"/>
        <v>11412</v>
      </c>
      <c r="E68" s="24">
        <f t="shared" si="33"/>
        <v>11696</v>
      </c>
      <c r="F68" s="24">
        <f t="shared" si="33"/>
        <v>12839</v>
      </c>
      <c r="G68" s="24">
        <f t="shared" si="33"/>
        <v>15598</v>
      </c>
      <c r="H68" s="24">
        <f t="shared" si="33"/>
        <v>18348</v>
      </c>
      <c r="I68" s="24">
        <f t="shared" ref="I68:K68" si="34">I34+I73</f>
        <v>21219</v>
      </c>
      <c r="J68" s="24">
        <f t="shared" si="34"/>
        <v>21883</v>
      </c>
      <c r="K68" s="24">
        <f t="shared" si="34"/>
        <v>27759</v>
      </c>
      <c r="L68" s="24">
        <f t="shared" ref="L68" si="35">L34+L73</f>
        <v>28913</v>
      </c>
      <c r="M68" s="76">
        <f t="shared" si="33"/>
        <v>30300</v>
      </c>
    </row>
    <row r="69" spans="1:13" ht="15" thickTop="1" x14ac:dyDescent="0.3">
      <c r="A69" s="8" t="s">
        <v>122</v>
      </c>
      <c r="B69" s="10"/>
      <c r="C69" s="10"/>
      <c r="D69" s="10"/>
      <c r="E69" s="10"/>
      <c r="F69" s="10"/>
      <c r="G69" s="10"/>
      <c r="H69" s="10"/>
      <c r="I69" s="10"/>
      <c r="J69" s="10"/>
      <c r="K69" s="10"/>
      <c r="L69" s="10"/>
      <c r="M69" s="10"/>
    </row>
    <row r="70" spans="1:13" x14ac:dyDescent="0.3">
      <c r="A70" s="31" t="s">
        <v>123</v>
      </c>
      <c r="B70" s="21">
        <f t="shared" ref="B70:M70" si="36">B35+B36+B45+B46+B47</f>
        <v>4457</v>
      </c>
      <c r="C70" s="21">
        <f t="shared" si="36"/>
        <v>4330</v>
      </c>
      <c r="D70" s="21">
        <f t="shared" si="36"/>
        <v>3955</v>
      </c>
      <c r="E70" s="21">
        <f t="shared" si="36"/>
        <v>4333</v>
      </c>
      <c r="F70" s="21">
        <f t="shared" si="36"/>
        <v>5216</v>
      </c>
      <c r="G70" s="21">
        <f t="shared" si="36"/>
        <v>6394</v>
      </c>
      <c r="H70" s="21">
        <f t="shared" si="36"/>
        <v>6618</v>
      </c>
      <c r="I70" s="21">
        <f t="shared" ref="I70:J70" si="37">I35+I36+I45+I46+I47</f>
        <v>6119</v>
      </c>
      <c r="J70" s="21">
        <f t="shared" si="37"/>
        <v>9921</v>
      </c>
      <c r="K70" s="21">
        <f t="shared" ref="K70:L70" si="38">K35+K36+K45+K46+K47</f>
        <v>9242</v>
      </c>
      <c r="L70" s="21">
        <f t="shared" si="38"/>
        <v>12989</v>
      </c>
      <c r="M70" s="21">
        <f t="shared" si="36"/>
        <v>16682</v>
      </c>
    </row>
    <row r="71" spans="1:13" x14ac:dyDescent="0.3">
      <c r="A71" s="31" t="s">
        <v>124</v>
      </c>
      <c r="B71" s="21">
        <f t="shared" ref="B71:M71" si="39">B25+B26</f>
        <v>2192</v>
      </c>
      <c r="C71" s="21">
        <f t="shared" si="39"/>
        <v>2099</v>
      </c>
      <c r="D71" s="21">
        <f t="shared" si="39"/>
        <v>2026</v>
      </c>
      <c r="E71" s="21">
        <f t="shared" si="39"/>
        <v>2208</v>
      </c>
      <c r="F71" s="21">
        <f t="shared" si="39"/>
        <v>2275</v>
      </c>
      <c r="G71" s="21">
        <f t="shared" si="39"/>
        <v>2672</v>
      </c>
      <c r="H71" s="21">
        <f t="shared" si="39"/>
        <v>2979</v>
      </c>
      <c r="I71" s="21">
        <f t="shared" ref="I71:J71" si="40">I25+I26</f>
        <v>3804</v>
      </c>
      <c r="J71" s="21">
        <f t="shared" si="40"/>
        <v>4707</v>
      </c>
      <c r="K71" s="21">
        <f t="shared" ref="K71:L71" si="41">K25+K26</f>
        <v>5889</v>
      </c>
      <c r="L71" s="21">
        <f t="shared" si="41"/>
        <v>7501</v>
      </c>
      <c r="M71" s="21">
        <f t="shared" si="39"/>
        <v>8702</v>
      </c>
    </row>
    <row r="72" spans="1:13" x14ac:dyDescent="0.3">
      <c r="A72" s="31" t="s">
        <v>125</v>
      </c>
      <c r="B72" s="21">
        <f t="shared" ref="B72:M72" si="42">B70-B71</f>
        <v>2265</v>
      </c>
      <c r="C72" s="21">
        <f t="shared" si="42"/>
        <v>2231</v>
      </c>
      <c r="D72" s="21">
        <f t="shared" si="42"/>
        <v>1929</v>
      </c>
      <c r="E72" s="21">
        <f t="shared" si="42"/>
        <v>2125</v>
      </c>
      <c r="F72" s="21">
        <f t="shared" si="42"/>
        <v>2941</v>
      </c>
      <c r="G72" s="21">
        <f t="shared" si="42"/>
        <v>3722</v>
      </c>
      <c r="H72" s="21">
        <f t="shared" si="42"/>
        <v>3639</v>
      </c>
      <c r="I72" s="21">
        <f t="shared" ref="I72:J72" si="43">I70-I71</f>
        <v>2315</v>
      </c>
      <c r="J72" s="21">
        <f t="shared" si="43"/>
        <v>5214</v>
      </c>
      <c r="K72" s="21">
        <f t="shared" ref="K72:L72" si="44">K70-K71</f>
        <v>3353</v>
      </c>
      <c r="L72" s="21">
        <f t="shared" si="44"/>
        <v>5488</v>
      </c>
      <c r="M72" s="21">
        <f t="shared" si="42"/>
        <v>7980</v>
      </c>
    </row>
    <row r="73" spans="1:13" x14ac:dyDescent="0.3">
      <c r="A73" s="31" t="s">
        <v>126</v>
      </c>
      <c r="B73" s="21">
        <f>-'Annual Inc Statement Reported'!B27*7</f>
        <v>2422</v>
      </c>
      <c r="C73" s="21">
        <f>-'Annual Inc Statement Reported'!C27*7</f>
        <v>2345</v>
      </c>
      <c r="D73" s="21">
        <f>-'Annual Inc Statement Reported'!D27*7</f>
        <v>2352</v>
      </c>
      <c r="E73" s="21">
        <f>-'Annual Inc Statement Reported'!E27*7</f>
        <v>2226</v>
      </c>
      <c r="F73" s="21">
        <f>-'Annual Inc Statement Reported'!F27*7</f>
        <v>2191</v>
      </c>
      <c r="G73" s="21">
        <f>-'Annual Inc Statement Reported'!G27*7</f>
        <v>2471</v>
      </c>
      <c r="H73" s="21">
        <f>-'Annual Inc Statement Reported'!H27*7</f>
        <v>3234</v>
      </c>
      <c r="I73" s="21">
        <f>-'Annual Inc Statement Reported'!I27*7</f>
        <v>3521</v>
      </c>
      <c r="J73" s="21">
        <f>-'Annual Inc Statement Reported'!J27*7</f>
        <v>0</v>
      </c>
      <c r="K73" s="21">
        <f>-'Annual Inc Statement Reported'!K27*7</f>
        <v>0</v>
      </c>
      <c r="L73" s="21">
        <f>-'Annual Inc Statement Reported'!L27*7</f>
        <v>0</v>
      </c>
      <c r="M73" s="21"/>
    </row>
    <row r="74" spans="1:13" x14ac:dyDescent="0.3">
      <c r="A74" s="31" t="s">
        <v>127</v>
      </c>
      <c r="B74" s="21">
        <v>0</v>
      </c>
      <c r="C74" s="21">
        <v>0</v>
      </c>
      <c r="D74" s="21">
        <v>0</v>
      </c>
      <c r="E74" s="21">
        <v>0</v>
      </c>
      <c r="F74" s="21">
        <v>0</v>
      </c>
      <c r="G74" s="21">
        <v>0</v>
      </c>
      <c r="H74" s="21">
        <v>0</v>
      </c>
      <c r="I74" s="21">
        <v>0</v>
      </c>
      <c r="J74" s="21">
        <v>0</v>
      </c>
      <c r="K74" s="21">
        <v>0</v>
      </c>
      <c r="L74" s="21">
        <v>0</v>
      </c>
      <c r="M74" s="21">
        <v>0</v>
      </c>
    </row>
    <row r="75" spans="1:13" x14ac:dyDescent="0.3">
      <c r="A75" s="14" t="s">
        <v>128</v>
      </c>
      <c r="B75" s="22">
        <f t="shared" ref="B75:H75" si="45">B72+B73</f>
        <v>4687</v>
      </c>
      <c r="C75" s="22">
        <f t="shared" si="45"/>
        <v>4576</v>
      </c>
      <c r="D75" s="22">
        <f t="shared" si="45"/>
        <v>4281</v>
      </c>
      <c r="E75" s="22">
        <f t="shared" si="45"/>
        <v>4351</v>
      </c>
      <c r="F75" s="22">
        <f t="shared" si="45"/>
        <v>5132</v>
      </c>
      <c r="G75" s="22">
        <f t="shared" si="45"/>
        <v>6193</v>
      </c>
      <c r="H75" s="22">
        <f t="shared" si="45"/>
        <v>6873</v>
      </c>
      <c r="I75" s="22">
        <f t="shared" ref="I75:M75" si="46">I72+I73</f>
        <v>5836</v>
      </c>
      <c r="J75" s="22">
        <f t="shared" si="46"/>
        <v>5214</v>
      </c>
      <c r="K75" s="22">
        <f t="shared" ref="K75:L75" si="47">K72+K73</f>
        <v>3353</v>
      </c>
      <c r="L75" s="22">
        <f t="shared" si="47"/>
        <v>5488</v>
      </c>
      <c r="M75" s="22">
        <f t="shared" si="46"/>
        <v>7980</v>
      </c>
    </row>
    <row r="76" spans="1:13" x14ac:dyDescent="0.3">
      <c r="A76" s="31" t="s">
        <v>129</v>
      </c>
      <c r="B76" s="32"/>
      <c r="C76" s="32"/>
      <c r="D76" s="32"/>
      <c r="E76" s="32"/>
      <c r="F76" s="32"/>
      <c r="G76" s="32"/>
      <c r="H76" s="32"/>
      <c r="I76" s="32"/>
      <c r="J76" s="32"/>
      <c r="K76" s="32"/>
      <c r="L76" s="32"/>
      <c r="M76" s="32"/>
    </row>
    <row r="77" spans="1:13" x14ac:dyDescent="0.3">
      <c r="A77" s="31" t="s">
        <v>130</v>
      </c>
      <c r="B77" s="40"/>
      <c r="C77" s="40"/>
      <c r="D77" s="40"/>
      <c r="E77" s="40"/>
      <c r="F77" s="40"/>
      <c r="G77" s="40"/>
      <c r="H77" s="40"/>
      <c r="I77" s="40"/>
      <c r="J77" s="40"/>
      <c r="K77" s="40"/>
      <c r="L77" s="40"/>
      <c r="M77" s="40"/>
    </row>
    <row r="78" spans="1:13" x14ac:dyDescent="0.3">
      <c r="A78" s="31" t="s">
        <v>131</v>
      </c>
      <c r="B78" s="40"/>
      <c r="C78" s="40"/>
      <c r="D78" s="40"/>
      <c r="E78" s="40"/>
      <c r="F78" s="40"/>
      <c r="G78" s="40"/>
      <c r="H78" s="40"/>
      <c r="I78" s="40"/>
      <c r="J78" s="40"/>
      <c r="K78" s="40"/>
      <c r="L78" s="40"/>
      <c r="M78" s="40"/>
    </row>
    <row r="79" spans="1:13" x14ac:dyDescent="0.3">
      <c r="A79" s="31" t="s">
        <v>132</v>
      </c>
      <c r="B79" s="2">
        <f>IFERROR(B36/B70,"")</f>
        <v>0.11330491361902625</v>
      </c>
      <c r="C79" s="2">
        <f t="shared" ref="C79:M79" si="48">IFERROR(C36/C70,"")</f>
        <v>9.7921478060046183E-2</v>
      </c>
      <c r="D79" s="2">
        <f t="shared" si="48"/>
        <v>0.12793931731984828</v>
      </c>
      <c r="E79" s="2">
        <f t="shared" si="48"/>
        <v>8.6314331871682443E-2</v>
      </c>
      <c r="F79" s="2">
        <f t="shared" si="48"/>
        <v>9.2791411042944791E-2</v>
      </c>
      <c r="G79" s="2">
        <f t="shared" si="48"/>
        <v>8.1951829840475443E-2</v>
      </c>
      <c r="H79" s="2">
        <f t="shared" si="48"/>
        <v>0.10682985796313085</v>
      </c>
      <c r="I79" s="2">
        <f t="shared" ref="I79:K79" si="49">IFERROR(I36/I70,"")</f>
        <v>0.10965844092171924</v>
      </c>
      <c r="J79" s="2">
        <f t="shared" si="49"/>
        <v>6.450962604576152E-2</v>
      </c>
      <c r="K79" s="2">
        <f t="shared" si="49"/>
        <v>6.8275265094135465E-2</v>
      </c>
      <c r="L79" s="2">
        <f t="shared" ref="L79" si="50">IFERROR(L36/L70,"")</f>
        <v>4.1881592116406192E-2</v>
      </c>
      <c r="M79" s="2">
        <f t="shared" si="48"/>
        <v>2.9792590816448868E-2</v>
      </c>
    </row>
    <row r="80" spans="1:13" x14ac:dyDescent="0.3">
      <c r="A80" s="8" t="s">
        <v>133</v>
      </c>
      <c r="B80" s="10"/>
      <c r="C80" s="10"/>
      <c r="D80" s="10"/>
      <c r="E80" s="10"/>
      <c r="F80" s="10"/>
      <c r="G80" s="10"/>
      <c r="H80" s="10"/>
      <c r="I80" s="10"/>
      <c r="J80" s="10"/>
      <c r="K80" s="10"/>
      <c r="L80" s="10"/>
      <c r="M80" s="10"/>
    </row>
    <row r="81" spans="1:13" x14ac:dyDescent="0.3">
      <c r="A81" s="31" t="s">
        <v>134</v>
      </c>
      <c r="B81" s="21">
        <f t="shared" ref="B81:M81" si="51">B25+B26</f>
        <v>2192</v>
      </c>
      <c r="C81" s="21">
        <f t="shared" si="51"/>
        <v>2099</v>
      </c>
      <c r="D81" s="21">
        <f t="shared" si="51"/>
        <v>2026</v>
      </c>
      <c r="E81" s="21">
        <f t="shared" si="51"/>
        <v>2208</v>
      </c>
      <c r="F81" s="21">
        <f t="shared" si="51"/>
        <v>2275</v>
      </c>
      <c r="G81" s="21">
        <f t="shared" si="51"/>
        <v>2672</v>
      </c>
      <c r="H81" s="21">
        <f t="shared" si="51"/>
        <v>2979</v>
      </c>
      <c r="I81" s="21">
        <f t="shared" ref="I81:J81" si="52">I25+I26</f>
        <v>3804</v>
      </c>
      <c r="J81" s="21">
        <f t="shared" si="52"/>
        <v>4707</v>
      </c>
      <c r="K81" s="21">
        <f t="shared" ref="K81:L81" si="53">K25+K26</f>
        <v>5889</v>
      </c>
      <c r="L81" s="21">
        <f t="shared" si="53"/>
        <v>7501</v>
      </c>
      <c r="M81" s="21">
        <f t="shared" si="51"/>
        <v>8702</v>
      </c>
    </row>
    <row r="82" spans="1:13" x14ac:dyDescent="0.3">
      <c r="A82" s="31" t="s">
        <v>135</v>
      </c>
      <c r="B82" s="21">
        <f t="shared" ref="B82:M82" si="54">B35+B36</f>
        <v>505</v>
      </c>
      <c r="C82" s="21">
        <f t="shared" si="54"/>
        <v>424</v>
      </c>
      <c r="D82" s="21">
        <f t="shared" si="54"/>
        <v>506</v>
      </c>
      <c r="E82" s="21">
        <f t="shared" si="54"/>
        <v>374</v>
      </c>
      <c r="F82" s="21">
        <f t="shared" si="54"/>
        <v>484</v>
      </c>
      <c r="G82" s="21">
        <f t="shared" si="54"/>
        <v>524</v>
      </c>
      <c r="H82" s="21">
        <f t="shared" si="54"/>
        <v>707</v>
      </c>
      <c r="I82" s="21">
        <f t="shared" ref="I82:J82" si="55">I35+I36</f>
        <v>671</v>
      </c>
      <c r="J82" s="21">
        <f t="shared" si="55"/>
        <v>1048</v>
      </c>
      <c r="K82" s="21">
        <f t="shared" ref="K82:L82" si="56">K35+K36</f>
        <v>1218</v>
      </c>
      <c r="L82" s="21">
        <f t="shared" si="56"/>
        <v>1788</v>
      </c>
      <c r="M82" s="21">
        <f t="shared" si="54"/>
        <v>1015</v>
      </c>
    </row>
    <row r="83" spans="1:13" x14ac:dyDescent="0.3">
      <c r="A83" s="31" t="s">
        <v>136</v>
      </c>
      <c r="B83" s="21">
        <f t="shared" ref="B83:M83" si="57">B29</f>
        <v>0</v>
      </c>
      <c r="C83" s="21">
        <f t="shared" si="57"/>
        <v>0</v>
      </c>
      <c r="D83" s="21">
        <f t="shared" si="57"/>
        <v>0</v>
      </c>
      <c r="E83" s="21">
        <f t="shared" si="57"/>
        <v>0</v>
      </c>
      <c r="F83" s="21">
        <f t="shared" si="57"/>
        <v>0</v>
      </c>
      <c r="G83" s="21">
        <f t="shared" si="57"/>
        <v>0</v>
      </c>
      <c r="H83" s="21">
        <f t="shared" si="57"/>
        <v>0</v>
      </c>
      <c r="I83" s="21">
        <f t="shared" ref="I83:J83" si="58">I29</f>
        <v>0</v>
      </c>
      <c r="J83" s="21">
        <f t="shared" si="58"/>
        <v>0</v>
      </c>
      <c r="K83" s="21">
        <f t="shared" ref="K83:L83" si="59">K29</f>
        <v>0</v>
      </c>
      <c r="L83" s="21">
        <f t="shared" si="59"/>
        <v>0</v>
      </c>
      <c r="M83" s="21">
        <f t="shared" si="57"/>
        <v>0</v>
      </c>
    </row>
    <row r="84" spans="1:13" x14ac:dyDescent="0.3">
      <c r="A84" s="31" t="s">
        <v>137</v>
      </c>
      <c r="B84" s="21">
        <f t="shared" ref="B84:M84" si="60">B37</f>
        <v>0</v>
      </c>
      <c r="C84" s="21">
        <f t="shared" si="60"/>
        <v>0</v>
      </c>
      <c r="D84" s="21">
        <f t="shared" si="60"/>
        <v>0</v>
      </c>
      <c r="E84" s="21">
        <f t="shared" si="60"/>
        <v>0</v>
      </c>
      <c r="F84" s="21">
        <f t="shared" si="60"/>
        <v>0</v>
      </c>
      <c r="G84" s="21">
        <f t="shared" si="60"/>
        <v>0</v>
      </c>
      <c r="H84" s="21">
        <f t="shared" si="60"/>
        <v>0</v>
      </c>
      <c r="I84" s="21">
        <f t="shared" ref="I84:J84" si="61">I37</f>
        <v>0</v>
      </c>
      <c r="J84" s="21">
        <f t="shared" si="61"/>
        <v>0</v>
      </c>
      <c r="K84" s="21">
        <f t="shared" ref="K84:L84" si="62">K37</f>
        <v>0</v>
      </c>
      <c r="L84" s="21">
        <f t="shared" si="62"/>
        <v>0</v>
      </c>
      <c r="M84" s="21">
        <f t="shared" si="60"/>
        <v>0</v>
      </c>
    </row>
    <row r="85" spans="1:13" x14ac:dyDescent="0.3">
      <c r="A85" s="31" t="s">
        <v>138</v>
      </c>
      <c r="B85" s="21">
        <f t="shared" ref="B85:M85" si="63">B81-B82+B83-B84</f>
        <v>1687</v>
      </c>
      <c r="C85" s="21">
        <f t="shared" si="63"/>
        <v>1675</v>
      </c>
      <c r="D85" s="21">
        <f t="shared" si="63"/>
        <v>1520</v>
      </c>
      <c r="E85" s="21">
        <f t="shared" si="63"/>
        <v>1834</v>
      </c>
      <c r="F85" s="21">
        <f t="shared" si="63"/>
        <v>1791</v>
      </c>
      <c r="G85" s="21">
        <f t="shared" si="63"/>
        <v>2148</v>
      </c>
      <c r="H85" s="21">
        <f t="shared" si="63"/>
        <v>2272</v>
      </c>
      <c r="I85" s="21">
        <f t="shared" ref="I85:J85" si="64">I81-I82+I83-I84</f>
        <v>3133</v>
      </c>
      <c r="J85" s="21">
        <f t="shared" si="64"/>
        <v>3659</v>
      </c>
      <c r="K85" s="21">
        <f t="shared" ref="K85:L85" si="65">K81-K82+K83-K84</f>
        <v>4671</v>
      </c>
      <c r="L85" s="21">
        <f t="shared" si="65"/>
        <v>5713</v>
      </c>
      <c r="M85" s="21">
        <f t="shared" si="63"/>
        <v>7687</v>
      </c>
    </row>
    <row r="86" spans="1:13" x14ac:dyDescent="0.3">
      <c r="A86" s="31" t="s">
        <v>139</v>
      </c>
      <c r="B86" s="2">
        <f>IFERROR((B25+B26)/'Annual Inc Statement Reported'!B13,"")</f>
        <v>0.20322640459855368</v>
      </c>
      <c r="C86" s="2">
        <f>IFERROR((C25+C26)/'Annual Inc Statement Reported'!C13,"")</f>
        <v>0.18076128143300035</v>
      </c>
      <c r="D86" s="2">
        <f>IFERROR((D25+D26)/'Annual Inc Statement Reported'!D13,"")</f>
        <v>0.16716171617161715</v>
      </c>
      <c r="E86" s="2">
        <f>IFERROR((E25+E26)/'Annual Inc Statement Reported'!E13,"")</f>
        <v>0.1783233726376999</v>
      </c>
      <c r="F86" s="2">
        <f>IFERROR((F25+F26)/'Annual Inc Statement Reported'!F13,"")</f>
        <v>0.17141350210970463</v>
      </c>
      <c r="G86" s="2">
        <f>IFERROR((G25+G26)/'Annual Inc Statement Reported'!G13,"")</f>
        <v>0.19267378136717622</v>
      </c>
      <c r="H86" s="2">
        <f>IFERROR((H25+H26)/'Annual Inc Statement Reported'!H13,"")</f>
        <v>0.20297063432581591</v>
      </c>
      <c r="I86" s="2">
        <f>IFERROR((I25+I26)/'Annual Inc Statement Reported'!I13,"")</f>
        <v>0.23406349987693822</v>
      </c>
      <c r="J86" s="2">
        <f>IFERROR((J25+J26)/'Annual Inc Statement Reported'!J13,"")</f>
        <v>0.26145642392934509</v>
      </c>
      <c r="K86" s="2">
        <f>IFERROR((K25+K26)/'Annual Inc Statement Reported'!K13,"")</f>
        <v>0.30782499607966129</v>
      </c>
      <c r="L86" s="2">
        <f>IFERROR((L25+L26)/'Annual Inc Statement Reported'!L13,"")</f>
        <v>1.2859591976684381</v>
      </c>
      <c r="M86" s="2">
        <f>IFERROR((M25+M26)/'Annual Inc Statement Reported'!M13,"")</f>
        <v>1.9354982206405693</v>
      </c>
    </row>
    <row r="87" spans="1:13" x14ac:dyDescent="0.3">
      <c r="A87" s="31" t="s">
        <v>140</v>
      </c>
      <c r="B87" s="204">
        <f>IFERROR(((B25+B26)/(-'Annual Inc Statement Reported'!B24-'Annual Inc Statement Reported'!B27))*12,"")</f>
        <v>2.6989534167863738</v>
      </c>
      <c r="C87" s="204">
        <f>IFERROR(((C25+C26)/(-'Annual Inc Statement Reported'!C24-'Annual Inc Statement Reported'!C27))*12,"")</f>
        <v>2.3529191966370857</v>
      </c>
      <c r="D87" s="204">
        <f>IFERROR(((D25+D26)/(-'Annual Inc Statement Reported'!D24-'Annual Inc Statement Reported'!D27))*12,"")</f>
        <v>2.2091776465243069</v>
      </c>
      <c r="E87" s="204">
        <f>IFERROR(((E25+E26)/(-'Annual Inc Statement Reported'!E24-'Annual Inc Statement Reported'!E27))*12,"")</f>
        <v>2.3688869021010284</v>
      </c>
      <c r="F87" s="204">
        <f>IFERROR(((F25+F26)/(-'Annual Inc Statement Reported'!F24-'Annual Inc Statement Reported'!F27))*12,"")</f>
        <v>2.2914218566392481</v>
      </c>
      <c r="G87" s="204">
        <f>IFERROR(((G25+G26)/(-'Annual Inc Statement Reported'!G24-'Annual Inc Statement Reported'!G27))*12,"")</f>
        <v>2.7384063540865999</v>
      </c>
      <c r="H87" s="204">
        <f>IFERROR(((H25+H26)/(-'Annual Inc Statement Reported'!H24-'Annual Inc Statement Reported'!H27))*12,"")</f>
        <v>2.8771026156941653</v>
      </c>
      <c r="I87" s="204">
        <f>IFERROR(((I25+I26)/(-'Annual Inc Statement Reported'!I24-'Annual Inc Statement Reported'!I27))*12,"")</f>
        <v>3.283556322831247</v>
      </c>
      <c r="J87" s="204">
        <f>IFERROR(((J25+J26)/(-'Annual Inc Statement Reported'!J24-'Annual Inc Statement Reported'!J27))*12,"")</f>
        <v>3.8190669371196755</v>
      </c>
      <c r="K87" s="204">
        <f>IFERROR(((K25+K26)/(-'Annual Inc Statement Reported'!K24-'Annual Inc Statement Reported'!K27))*12,"")</f>
        <v>4.5606969990319461</v>
      </c>
      <c r="L87" s="204">
        <f>IFERROR(((L25+L26)/(-'Annual Inc Statement Reported'!L24-'Annual Inc Statement Reported'!L27))*12,"")</f>
        <v>12.083769633507853</v>
      </c>
      <c r="M87" s="204">
        <f>IFERROR(((M25+M26)/(-'Annual Inc Statement Reported'!M24-'Annual Inc Statement Reported'!M27))*12,"")</f>
        <v>16.339227038022216</v>
      </c>
    </row>
    <row r="88" spans="1:13" x14ac:dyDescent="0.3">
      <c r="A88" s="31" t="s">
        <v>141</v>
      </c>
      <c r="B88" s="2">
        <f>IFERROR((B25+B26)/B70,"")</f>
        <v>0.4918106349562486</v>
      </c>
      <c r="C88" s="2">
        <f t="shared" ref="C88:M88" si="66">IFERROR((C25+C26)/C70,"")</f>
        <v>0.48475750577367205</v>
      </c>
      <c r="D88" s="2">
        <f t="shared" si="66"/>
        <v>0.51226295828065738</v>
      </c>
      <c r="E88" s="2">
        <f t="shared" si="66"/>
        <v>0.50957765981998615</v>
      </c>
      <c r="F88" s="2">
        <f t="shared" si="66"/>
        <v>0.43615797546012269</v>
      </c>
      <c r="G88" s="2">
        <f t="shared" si="66"/>
        <v>0.41789177353769158</v>
      </c>
      <c r="H88" s="2">
        <f t="shared" si="66"/>
        <v>0.45013599274705351</v>
      </c>
      <c r="I88" s="2">
        <f t="shared" ref="I88:J88" si="67">IFERROR((I25+I26)/I70,"")</f>
        <v>0.62167020755025326</v>
      </c>
      <c r="J88" s="2">
        <f t="shared" si="67"/>
        <v>0.47444814030843663</v>
      </c>
      <c r="K88" s="2">
        <f t="shared" ref="K88:L88" si="68">IFERROR((K25+K26)/K70,"")</f>
        <v>0.63719974031594895</v>
      </c>
      <c r="L88" s="2">
        <f t="shared" si="68"/>
        <v>0.57748864423743163</v>
      </c>
      <c r="M88" s="2">
        <f t="shared" si="66"/>
        <v>0.52164009111617315</v>
      </c>
    </row>
    <row r="89" spans="1:13" x14ac:dyDescent="0.3">
      <c r="A89" s="8" t="s">
        <v>142</v>
      </c>
      <c r="B89" s="10"/>
      <c r="C89" s="10"/>
      <c r="D89" s="10"/>
      <c r="E89" s="10"/>
      <c r="F89" s="10"/>
      <c r="G89" s="10"/>
      <c r="H89" s="10"/>
      <c r="I89" s="10"/>
      <c r="J89" s="10"/>
      <c r="K89" s="10"/>
      <c r="L89" s="10"/>
      <c r="M89" s="10"/>
    </row>
    <row r="90" spans="1:13" x14ac:dyDescent="0.3">
      <c r="A90" s="31" t="s">
        <v>143</v>
      </c>
      <c r="B90" s="25">
        <f>IFERROR(B72/'Annual Inc Statement Reported'!B28,"")</f>
        <v>2.1778846153846154</v>
      </c>
      <c r="C90" s="25">
        <f>IFERROR(C72/'Annual Inc Statement Reported'!C28,"")</f>
        <v>2.4597574421168686</v>
      </c>
      <c r="D90" s="25">
        <f>IFERROR(D72/'Annual Inc Statement Reported'!D28,"")</f>
        <v>1.7300448430493274</v>
      </c>
      <c r="E90" s="25">
        <f>IFERROR(E72/'Annual Inc Statement Reported'!E28,"")</f>
        <v>1.7752715121136173</v>
      </c>
      <c r="F90" s="25">
        <f>IFERROR(F72/'Annual Inc Statement Reported'!F28,"")</f>
        <v>2.1656848306332841</v>
      </c>
      <c r="G90" s="25">
        <f>IFERROR(G72/'Annual Inc Statement Reported'!G28,"")</f>
        <v>1.7239462714219547</v>
      </c>
      <c r="H90" s="25">
        <f>IFERROR(H72/'Annual Inc Statement Reported'!H28,"")</f>
        <v>1.6158969804618117</v>
      </c>
      <c r="I90" s="25">
        <f>IFERROR(I72/'Annual Inc Statement Reported'!I28,"")</f>
        <v>0.98510638297872344</v>
      </c>
      <c r="J90" s="25">
        <f>IFERROR(J72/'Annual Inc Statement Reported'!J28,"")</f>
        <v>1.6227824463118581</v>
      </c>
      <c r="K90" s="25">
        <f>IFERROR(K72/'Annual Inc Statement Reported'!K28,"")</f>
        <v>0.92216721672167212</v>
      </c>
      <c r="L90" s="25">
        <f>IFERROR(L72/'Annual Inc Statement Reported'!L28,"")</f>
        <v>-3.3960396039603959</v>
      </c>
      <c r="M90" s="25">
        <f>IFERROR(M72/'Annual Inc Statement Reported'!M28,"")</f>
        <v>-4.211081794195251</v>
      </c>
    </row>
    <row r="91" spans="1:13" x14ac:dyDescent="0.3">
      <c r="A91" s="31" t="s">
        <v>144</v>
      </c>
      <c r="B91" s="25">
        <f>IFERROR(B72/B66,"")</f>
        <v>1.1864850707176533</v>
      </c>
      <c r="C91" s="25">
        <f t="shared" ref="C91:M91" si="69">IFERROR(C72/C66,"")</f>
        <v>-0.55691462805791314</v>
      </c>
      <c r="D91" s="25">
        <f t="shared" si="69"/>
        <v>-0.57719928186714542</v>
      </c>
      <c r="E91" s="25">
        <f t="shared" si="69"/>
        <v>-1.5211166785969936</v>
      </c>
      <c r="F91" s="25">
        <f t="shared" si="69"/>
        <v>-2.5957634598411299</v>
      </c>
      <c r="G91" s="25">
        <f t="shared" si="69"/>
        <v>93.05</v>
      </c>
      <c r="H91" s="25">
        <f t="shared" si="69"/>
        <v>2.9852337981952419</v>
      </c>
      <c r="I91" s="25">
        <f t="shared" ref="I91:J91" si="70">IFERROR(I72/I66,"")</f>
        <v>0.68511393903521756</v>
      </c>
      <c r="J91" s="25">
        <f t="shared" si="70"/>
        <v>1.5910894110466891</v>
      </c>
      <c r="K91" s="25">
        <f t="shared" ref="K91:L91" si="71">IFERROR(K72/K66,"")</f>
        <v>0.76204545454545458</v>
      </c>
      <c r="L91" s="25">
        <f t="shared" si="71"/>
        <v>3.2</v>
      </c>
      <c r="M91" s="25">
        <f t="shared" si="69"/>
        <v>55.03448275862069</v>
      </c>
    </row>
    <row r="92" spans="1:13" x14ac:dyDescent="0.3">
      <c r="A92" s="31" t="s">
        <v>145</v>
      </c>
      <c r="B92" s="25">
        <f>IFERROR(B72/(B72+B66),"")</f>
        <v>0.54264494489698134</v>
      </c>
      <c r="C92" s="25">
        <f t="shared" ref="C92:M92" si="72">IFERROR(C72/(C72+C66),"")</f>
        <v>-1.2569014084507042</v>
      </c>
      <c r="D92" s="25">
        <f t="shared" si="72"/>
        <v>-1.365180467091295</v>
      </c>
      <c r="E92" s="25">
        <f t="shared" si="72"/>
        <v>2.9189560439560438</v>
      </c>
      <c r="F92" s="25">
        <f t="shared" si="72"/>
        <v>1.6266592920353982</v>
      </c>
      <c r="G92" s="25">
        <f t="shared" si="72"/>
        <v>0.98936735778841045</v>
      </c>
      <c r="H92" s="25">
        <f t="shared" si="72"/>
        <v>0.74907369287772751</v>
      </c>
      <c r="I92" s="25">
        <f t="shared" ref="I92:J92" si="73">IFERROR(I72/(I72+I66),"")</f>
        <v>0.40656831752722161</v>
      </c>
      <c r="J92" s="25">
        <f t="shared" si="73"/>
        <v>0.61406194794488278</v>
      </c>
      <c r="K92" s="25">
        <f t="shared" ref="K92:L92" si="74">IFERROR(K72/(K72+K66),"")</f>
        <v>0.43247775054817489</v>
      </c>
      <c r="L92" s="25">
        <f t="shared" si="74"/>
        <v>0.76190476190476186</v>
      </c>
      <c r="M92" s="25">
        <f t="shared" si="72"/>
        <v>0.98215384615384616</v>
      </c>
    </row>
    <row r="93" spans="1:13" s="11" customFormat="1" x14ac:dyDescent="0.3">
      <c r="A93" s="14" t="s">
        <v>146</v>
      </c>
      <c r="B93" s="257">
        <f>IFERROR(B75/'Annual Inc Statement Reported'!B26,"")</f>
        <v>3.3816738816738816</v>
      </c>
      <c r="C93" s="257">
        <f>IFERROR(C75/'Annual Inc Statement Reported'!C26,"")</f>
        <v>3.6843800322061191</v>
      </c>
      <c r="D93" s="257">
        <f>IFERROR(D75/'Annual Inc Statement Reported'!D26,"")</f>
        <v>2.9503790489317714</v>
      </c>
      <c r="E93" s="257">
        <f>IFERROR(E75/'Annual Inc Statement Reported'!E26,"")</f>
        <v>2.8719471947194721</v>
      </c>
      <c r="F93" s="257">
        <f>IFERROR(F75/'Annual Inc Statement Reported'!F26,"")</f>
        <v>3.0712148414123281</v>
      </c>
      <c r="G93" s="257">
        <f>IFERROR(G75/'Annual Inc Statement Reported'!G26,"")</f>
        <v>2.4653662420382165</v>
      </c>
      <c r="H93" s="257">
        <f>IFERROR(H75/'Annual Inc Statement Reported'!H26,"")</f>
        <v>2.5324244657332349</v>
      </c>
      <c r="I93" s="257">
        <f>IFERROR(I75/'Annual Inc Statement Reported'!I26,"")</f>
        <v>2.0455660708026637</v>
      </c>
      <c r="J93" s="257">
        <f>IFERROR(J75/'Annual Inc Statement Reported'!J26,"")</f>
        <v>1.6227824463118581</v>
      </c>
      <c r="K93" s="257">
        <f>IFERROR(K75/'Annual Inc Statement Reported'!K26,"")</f>
        <v>0.92216721672167212</v>
      </c>
      <c r="L93" s="257">
        <f>IFERROR(L75/'Annual Inc Statement Reported'!L26,"")</f>
        <v>-3.3960396039603959</v>
      </c>
      <c r="M93" s="257">
        <f>IFERROR(M75/'Annual Inc Statement Reported'!M26,"")</f>
        <v>-4.211081794195251</v>
      </c>
    </row>
    <row r="94" spans="1:13" x14ac:dyDescent="0.3">
      <c r="A94" s="31" t="s">
        <v>147</v>
      </c>
      <c r="B94" s="25">
        <f>IFERROR(B75/B66,"")</f>
        <v>2.4552121529596649</v>
      </c>
      <c r="C94" s="25">
        <f t="shared" ref="C94:M94" si="75">IFERROR(C75/C66,"")</f>
        <v>-1.1422865701447829</v>
      </c>
      <c r="D94" s="25">
        <f t="shared" si="75"/>
        <v>-1.2809694793536803</v>
      </c>
      <c r="E94" s="25">
        <f t="shared" si="75"/>
        <v>-3.1145311381531853</v>
      </c>
      <c r="F94" s="25">
        <f t="shared" si="75"/>
        <v>-4.5295675198587819</v>
      </c>
      <c r="G94" s="25">
        <f t="shared" si="75"/>
        <v>154.82499999999999</v>
      </c>
      <c r="H94" s="25">
        <f t="shared" si="75"/>
        <v>5.6382280557834292</v>
      </c>
      <c r="I94" s="25">
        <f t="shared" ref="I94:J94" si="76">IFERROR(I75/I66,"")</f>
        <v>1.7271382065699912</v>
      </c>
      <c r="J94" s="25">
        <f t="shared" si="76"/>
        <v>1.5910894110466891</v>
      </c>
      <c r="K94" s="25">
        <f t="shared" ref="K94:L94" si="77">IFERROR(K75/K66,"")</f>
        <v>0.76204545454545458</v>
      </c>
      <c r="L94" s="25">
        <f t="shared" si="77"/>
        <v>3.2</v>
      </c>
      <c r="M94" s="25">
        <f t="shared" si="75"/>
        <v>55.03448275862069</v>
      </c>
    </row>
    <row r="95" spans="1:13" s="27" customFormat="1" x14ac:dyDescent="0.3">
      <c r="A95" s="233" t="s">
        <v>148</v>
      </c>
      <c r="B95" s="25">
        <f>IFERROR(B75/(B66-B16),"")</f>
        <v>4.3844714686623014</v>
      </c>
      <c r="C95" s="25">
        <f t="shared" ref="C95:M95" si="78">IFERROR(C75/(C66-C16),"")</f>
        <v>-0.98855044286022897</v>
      </c>
      <c r="D95" s="25">
        <f t="shared" si="78"/>
        <v>-1.0791530123519033</v>
      </c>
      <c r="E95" s="25">
        <f t="shared" si="78"/>
        <v>-2.1625248508946324</v>
      </c>
      <c r="F95" s="25">
        <f t="shared" si="78"/>
        <v>-2.9342481417953117</v>
      </c>
      <c r="G95" s="25">
        <f t="shared" si="78"/>
        <v>-10.586324786324786</v>
      </c>
      <c r="H95" s="25">
        <f t="shared" si="78"/>
        <v>11.590219224283306</v>
      </c>
      <c r="I95" s="25">
        <f t="shared" ref="I95:J95" si="79">IFERROR(I75/(I66-I16),"")</f>
        <v>2.1221818181818182</v>
      </c>
      <c r="J95" s="25">
        <f t="shared" si="79"/>
        <v>2.0351288056206087</v>
      </c>
      <c r="K95" s="25">
        <f t="shared" ref="K95:L95" si="80">IFERROR(K75/(K66-K16),"")</f>
        <v>26.824000000000002</v>
      </c>
      <c r="L95" s="25">
        <f t="shared" si="80"/>
        <v>-2.038632986627043</v>
      </c>
      <c r="M95" s="25">
        <f t="shared" si="78"/>
        <v>-1.8896519062278001</v>
      </c>
    </row>
    <row r="96" spans="1:13" x14ac:dyDescent="0.3">
      <c r="A96" s="31" t="s">
        <v>149</v>
      </c>
      <c r="B96" s="25">
        <f>IFERROR(B75/(B66+B75),"")</f>
        <v>0.71058217101273502</v>
      </c>
      <c r="C96" s="25">
        <f t="shared" ref="C96:M96" si="81">IFERROR(C75/(C66+C75),"")</f>
        <v>8.0280701754385966</v>
      </c>
      <c r="D96" s="25">
        <f t="shared" si="81"/>
        <v>4.559105431309904</v>
      </c>
      <c r="E96" s="25">
        <f t="shared" si="81"/>
        <v>1.47291807718348</v>
      </c>
      <c r="F96" s="25">
        <f t="shared" si="81"/>
        <v>1.2833208302075518</v>
      </c>
      <c r="G96" s="25">
        <f t="shared" si="81"/>
        <v>0.9935825445210974</v>
      </c>
      <c r="H96" s="25">
        <f t="shared" si="81"/>
        <v>0.84935739001482946</v>
      </c>
      <c r="I96" s="25">
        <f t="shared" ref="I96:J96" si="82">IFERROR(I75/(I66+I75),"")</f>
        <v>0.63331524688008678</v>
      </c>
      <c r="J96" s="25">
        <f t="shared" si="82"/>
        <v>0.61406194794488278</v>
      </c>
      <c r="K96" s="25">
        <f t="shared" ref="K96:L96" si="83">IFERROR(K75/(K66+K75),"")</f>
        <v>0.43247775054817489</v>
      </c>
      <c r="L96" s="25">
        <f t="shared" si="83"/>
        <v>0.76190476190476186</v>
      </c>
      <c r="M96" s="25">
        <f t="shared" si="81"/>
        <v>0.98215384615384616</v>
      </c>
    </row>
    <row r="97" spans="1:13" x14ac:dyDescent="0.3">
      <c r="A97" s="31" t="s">
        <v>150</v>
      </c>
      <c r="B97" s="25">
        <f>IFERROR(B75/'Annual Inc Statement Reported'!B13,"")</f>
        <v>0.4345447802707213</v>
      </c>
      <c r="C97" s="25">
        <f>IFERROR(C75/'Annual Inc Statement Reported'!C13,"")</f>
        <v>0.39407509472959007</v>
      </c>
      <c r="D97" s="25">
        <f>IFERROR(D75/'Annual Inc Statement Reported'!D13,"")</f>
        <v>0.3532178217821782</v>
      </c>
      <c r="E97" s="25">
        <f>IFERROR(E75/'Annual Inc Statement Reported'!E13,"")</f>
        <v>0.35139718946858345</v>
      </c>
      <c r="F97" s="25">
        <f>IFERROR(F75/'Annual Inc Statement Reported'!F13,"")</f>
        <v>0.38667872212176008</v>
      </c>
      <c r="G97" s="25">
        <f>IFERROR(G75/'Annual Inc Statement Reported'!G13,"")</f>
        <v>0.44656763772714164</v>
      </c>
      <c r="H97" s="25">
        <f>IFERROR(H75/'Annual Inc Statement Reported'!H13,"")</f>
        <v>0.46828370920487838</v>
      </c>
      <c r="I97" s="25">
        <f>IFERROR(I75/'Annual Inc Statement Reported'!I13,"")</f>
        <v>0.35909426532119126</v>
      </c>
      <c r="J97" s="25">
        <f>IFERROR(J75/'Annual Inc Statement Reported'!J13,"")</f>
        <v>0.28961839693384434</v>
      </c>
      <c r="K97" s="25">
        <f>IFERROR(K75/'Annual Inc Statement Reported'!K13,"")</f>
        <v>0.1752652762532016</v>
      </c>
      <c r="L97" s="25">
        <f>IFERROR(L75/'Annual Inc Statement Reported'!L13,"")</f>
        <v>0.9408537630721755</v>
      </c>
      <c r="M97" s="25">
        <f>IFERROR(M75/'Annual Inc Statement Reported'!M13,"")</f>
        <v>1.7749110320284698</v>
      </c>
    </row>
    <row r="98" spans="1:13" x14ac:dyDescent="0.3">
      <c r="A98" s="31" t="s">
        <v>151</v>
      </c>
      <c r="B98" s="25">
        <f>IFERROR(B128/'Annual Inc Statement Reported'!B26,"")</f>
        <v>3.3816738816738816</v>
      </c>
      <c r="C98" s="25">
        <f>IFERROR(C128/'Annual Inc Statement Reported'!C26,"")</f>
        <v>3.6843800322061191</v>
      </c>
      <c r="D98" s="25">
        <f>IFERROR(D128/'Annual Inc Statement Reported'!D26,"")</f>
        <v>2.9503790489317714</v>
      </c>
      <c r="E98" s="25">
        <f>IFERROR(E128/'Annual Inc Statement Reported'!E26,"")</f>
        <v>2.8719471947194721</v>
      </c>
      <c r="F98" s="25">
        <f>IFERROR(F128/'Annual Inc Statement Reported'!F26,"")</f>
        <v>3.0712148414123281</v>
      </c>
      <c r="G98" s="25">
        <f>IFERROR(G128/'Annual Inc Statement Reported'!G26,"")</f>
        <v>2.4653662420382165</v>
      </c>
      <c r="H98" s="25">
        <f>IFERROR(H128/'Annual Inc Statement Reported'!H26,"")</f>
        <v>2.5324244657332349</v>
      </c>
      <c r="I98" s="25">
        <f>IFERROR(I128/'Annual Inc Statement Reported'!I26,"")</f>
        <v>2.0455660708026637</v>
      </c>
      <c r="J98" s="25">
        <f>IFERROR(J128/'Annual Inc Statement Reported'!J26,"")</f>
        <v>1.6227824463118581</v>
      </c>
      <c r="K98" s="25">
        <f>IFERROR(K128/'Annual Inc Statement Reported'!K26,"")</f>
        <v>0.92216721672167212</v>
      </c>
      <c r="L98" s="25">
        <f>IFERROR(L128/'Annual Inc Statement Reported'!L26,"")</f>
        <v>-3.3960396039603959</v>
      </c>
      <c r="M98" s="25">
        <f>IFERROR(M128/'Annual Inc Statement Reported'!M26,"")</f>
        <v>-4.211081794195251</v>
      </c>
    </row>
    <row r="99" spans="1:13" x14ac:dyDescent="0.3">
      <c r="A99" s="31" t="s">
        <v>152</v>
      </c>
      <c r="B99" s="2">
        <f>IFERROR(B66/B34,"")</f>
        <v>0.18105083459787558</v>
      </c>
      <c r="C99" s="2">
        <f t="shared" ref="C99:M99" si="84">IFERROR(C66/C34,"")</f>
        <v>-0.41586214055849685</v>
      </c>
      <c r="D99" s="2">
        <f t="shared" si="84"/>
        <v>-0.36887417218543045</v>
      </c>
      <c r="E99" s="2">
        <f t="shared" si="84"/>
        <v>-0.14751847940865892</v>
      </c>
      <c r="F99" s="2">
        <f t="shared" si="84"/>
        <v>-0.10640495867768596</v>
      </c>
      <c r="G99" s="2">
        <f t="shared" si="84"/>
        <v>3.0471547192808717E-3</v>
      </c>
      <c r="H99" s="2">
        <f t="shared" si="84"/>
        <v>8.0653698557628689E-2</v>
      </c>
      <c r="I99" s="2">
        <f t="shared" ref="I99:J99" si="85">IFERROR(I66/I34,"")</f>
        <v>0.19092552830828341</v>
      </c>
      <c r="J99" s="2">
        <f t="shared" si="85"/>
        <v>0.14975094822464927</v>
      </c>
      <c r="K99" s="2">
        <f t="shared" ref="K99:L99" si="86">IFERROR(K66/K34,"")</f>
        <v>0.15850715083396377</v>
      </c>
      <c r="L99" s="2">
        <f t="shared" si="86"/>
        <v>5.9315878670494239E-2</v>
      </c>
      <c r="M99" s="2">
        <f t="shared" si="84"/>
        <v>4.7854785478547851E-3</v>
      </c>
    </row>
    <row r="100" spans="1:13" s="29" customFormat="1" x14ac:dyDescent="0.3">
      <c r="A100" s="89" t="s">
        <v>256</v>
      </c>
      <c r="B100" s="71">
        <f>IFERROR(B66/(B34+B73),"")</f>
        <v>0.14723122011414469</v>
      </c>
      <c r="C100" s="71">
        <f t="shared" ref="C100:M100" si="87">IFERROR(C66/(C34+C73),"")</f>
        <v>-0.33444648522290865</v>
      </c>
      <c r="D100" s="71">
        <f t="shared" si="87"/>
        <v>-0.29284963196635122</v>
      </c>
      <c r="E100" s="71">
        <f t="shared" si="87"/>
        <v>-0.11944254445964432</v>
      </c>
      <c r="F100" s="71">
        <f t="shared" si="87"/>
        <v>-8.8246748189111296E-2</v>
      </c>
      <c r="G100" s="71">
        <f t="shared" si="87"/>
        <v>2.5644313373509426E-3</v>
      </c>
      <c r="H100" s="71">
        <f t="shared" si="87"/>
        <v>6.6437758883802045E-2</v>
      </c>
      <c r="I100" s="71">
        <f t="shared" ref="I100:J100" si="88">IFERROR(I66/(I34+I73),"")</f>
        <v>0.15924407370752627</v>
      </c>
      <c r="J100" s="71">
        <f t="shared" si="88"/>
        <v>0.14975094822464927</v>
      </c>
      <c r="K100" s="71">
        <f t="shared" ref="K100:L100" si="89">IFERROR(K66/(K34+K73),"")</f>
        <v>0.15850715083396377</v>
      </c>
      <c r="L100" s="71">
        <f t="shared" si="89"/>
        <v>5.9315878670494239E-2</v>
      </c>
      <c r="M100" s="71">
        <f t="shared" si="87"/>
        <v>4.7854785478547851E-3</v>
      </c>
    </row>
    <row r="101" spans="1:13" x14ac:dyDescent="0.3">
      <c r="A101" s="8" t="s">
        <v>153</v>
      </c>
      <c r="B101" s="10"/>
      <c r="C101" s="10"/>
      <c r="D101" s="10"/>
      <c r="E101" s="10"/>
      <c r="F101" s="10"/>
      <c r="G101" s="10"/>
      <c r="H101" s="10"/>
      <c r="I101" s="10"/>
      <c r="J101" s="10"/>
      <c r="K101" s="10"/>
      <c r="L101" s="10"/>
      <c r="M101" s="10"/>
    </row>
    <row r="102" spans="1:13" x14ac:dyDescent="0.3">
      <c r="A102" s="31" t="s">
        <v>154</v>
      </c>
      <c r="B102" s="5">
        <f t="shared" ref="B102:M102" si="90">B21</f>
        <v>0</v>
      </c>
      <c r="C102" s="5">
        <f t="shared" si="90"/>
        <v>0</v>
      </c>
      <c r="D102" s="5">
        <f t="shared" si="90"/>
        <v>0</v>
      </c>
      <c r="E102" s="5">
        <f t="shared" si="90"/>
        <v>0</v>
      </c>
      <c r="F102" s="5">
        <f t="shared" si="90"/>
        <v>0</v>
      </c>
      <c r="G102" s="5">
        <f t="shared" si="90"/>
        <v>851</v>
      </c>
      <c r="H102" s="5">
        <f t="shared" si="90"/>
        <v>1153</v>
      </c>
      <c r="I102" s="5">
        <f t="shared" ref="I102:J102" si="91">I21</f>
        <v>1583</v>
      </c>
      <c r="J102" s="5">
        <f t="shared" si="91"/>
        <v>1969</v>
      </c>
      <c r="K102" s="5">
        <f t="shared" ref="K102:L102" si="92">K21</f>
        <v>2064</v>
      </c>
      <c r="L102" s="5">
        <f t="shared" si="92"/>
        <v>2840</v>
      </c>
      <c r="M102" s="5">
        <f t="shared" si="90"/>
        <v>3206</v>
      </c>
    </row>
    <row r="103" spans="1:13" x14ac:dyDescent="0.3">
      <c r="A103" s="31" t="s">
        <v>155</v>
      </c>
      <c r="B103" s="21">
        <f t="shared" ref="B103:M103" si="93">-B54</f>
        <v>-1059</v>
      </c>
      <c r="C103" s="21">
        <f t="shared" si="93"/>
        <v>-5563</v>
      </c>
      <c r="D103" s="21">
        <f t="shared" si="93"/>
        <v>-4689</v>
      </c>
      <c r="E103" s="21">
        <f t="shared" si="93"/>
        <v>-2687</v>
      </c>
      <c r="F103" s="21">
        <f t="shared" si="93"/>
        <v>-2403</v>
      </c>
      <c r="G103" s="21">
        <f t="shared" si="93"/>
        <v>-2245</v>
      </c>
      <c r="H103" s="21">
        <f t="shared" si="93"/>
        <v>-2436</v>
      </c>
      <c r="I103" s="21">
        <f t="shared" ref="I103:J103" si="94">-I54</f>
        <v>-2592</v>
      </c>
      <c r="J103" s="21">
        <f t="shared" si="94"/>
        <v>-2547</v>
      </c>
      <c r="K103" s="21">
        <f t="shared" ref="K103:L103" si="95">-K54</f>
        <v>-2930</v>
      </c>
      <c r="L103" s="21">
        <f t="shared" si="95"/>
        <v>-3015</v>
      </c>
      <c r="M103" s="21">
        <f t="shared" si="93"/>
        <v>-2551</v>
      </c>
    </row>
    <row r="104" spans="1:13" x14ac:dyDescent="0.3">
      <c r="A104" s="31" t="s">
        <v>156</v>
      </c>
      <c r="B104" s="21">
        <f t="shared" ref="B104:M104" si="96">B102+B103</f>
        <v>-1059</v>
      </c>
      <c r="C104" s="21">
        <f t="shared" si="96"/>
        <v>-5563</v>
      </c>
      <c r="D104" s="21">
        <f t="shared" si="96"/>
        <v>-4689</v>
      </c>
      <c r="E104" s="21">
        <f t="shared" si="96"/>
        <v>-2687</v>
      </c>
      <c r="F104" s="21">
        <f t="shared" si="96"/>
        <v>-2403</v>
      </c>
      <c r="G104" s="21">
        <f t="shared" si="96"/>
        <v>-1394</v>
      </c>
      <c r="H104" s="21">
        <f t="shared" si="96"/>
        <v>-1283</v>
      </c>
      <c r="I104" s="21">
        <f t="shared" ref="I104:J104" si="97">I102+I103</f>
        <v>-1009</v>
      </c>
      <c r="J104" s="21">
        <f t="shared" si="97"/>
        <v>-578</v>
      </c>
      <c r="K104" s="21">
        <f t="shared" ref="K104:L104" si="98">K102+K103</f>
        <v>-866</v>
      </c>
      <c r="L104" s="21">
        <f t="shared" si="98"/>
        <v>-175</v>
      </c>
      <c r="M104" s="21">
        <f t="shared" si="96"/>
        <v>655</v>
      </c>
    </row>
    <row r="105" spans="1:13" x14ac:dyDescent="0.3">
      <c r="A105" s="31" t="s">
        <v>157</v>
      </c>
      <c r="B105" s="25">
        <f>IFERROR((B72-B104)/B66,"")</f>
        <v>1.7412257726558407</v>
      </c>
      <c r="C105" s="25">
        <f t="shared" ref="C105:M105" si="99">IFERROR((C72-C104)/C66,"")</f>
        <v>-1.9455816275586619</v>
      </c>
      <c r="D105" s="25">
        <f t="shared" si="99"/>
        <v>-1.9802513464991023</v>
      </c>
      <c r="E105" s="25">
        <f t="shared" si="99"/>
        <v>-3.4445239799570508</v>
      </c>
      <c r="F105" s="25">
        <f t="shared" si="99"/>
        <v>-4.7166813768755516</v>
      </c>
      <c r="G105" s="25">
        <f t="shared" si="99"/>
        <v>127.9</v>
      </c>
      <c r="H105" s="25">
        <f t="shared" si="99"/>
        <v>4.0377358490566042</v>
      </c>
      <c r="I105" s="25">
        <f t="shared" ref="I105:J105" si="100">IFERROR((I72-I104)/I66,"")</f>
        <v>0.98372299496892568</v>
      </c>
      <c r="J105" s="25">
        <f t="shared" si="100"/>
        <v>1.7674702471772963</v>
      </c>
      <c r="K105" s="25">
        <f t="shared" ref="K105:L105" si="101">IFERROR((K72-K104)/K66,"")</f>
        <v>0.95886363636363636</v>
      </c>
      <c r="L105" s="25">
        <f t="shared" si="101"/>
        <v>3.3020408163265307</v>
      </c>
      <c r="M105" s="25">
        <f t="shared" si="99"/>
        <v>50.517241379310342</v>
      </c>
    </row>
    <row r="106" spans="1:13" x14ac:dyDescent="0.3">
      <c r="A106" s="31" t="s">
        <v>158</v>
      </c>
      <c r="B106" s="25">
        <f>IFERROR((B75-B104)/B66,"")</f>
        <v>3.0099528548978522</v>
      </c>
      <c r="C106" s="25">
        <f t="shared" ref="C106:M106" si="102">IFERROR((C75-C104)/C66,"")</f>
        <v>-2.5309535696455319</v>
      </c>
      <c r="D106" s="25">
        <f t="shared" si="102"/>
        <v>-2.6840215439856374</v>
      </c>
      <c r="E106" s="25">
        <f t="shared" si="102"/>
        <v>-5.0379384395132423</v>
      </c>
      <c r="F106" s="25">
        <f t="shared" si="102"/>
        <v>-6.650485436893204</v>
      </c>
      <c r="G106" s="25">
        <f t="shared" si="102"/>
        <v>189.67500000000001</v>
      </c>
      <c r="H106" s="25">
        <f t="shared" si="102"/>
        <v>6.6907301066447911</v>
      </c>
      <c r="I106" s="25">
        <f t="shared" ref="I106:J106" si="103">IFERROR((I75-I104)/I66,"")</f>
        <v>2.0257472625036992</v>
      </c>
      <c r="J106" s="25">
        <f t="shared" si="103"/>
        <v>1.7674702471772963</v>
      </c>
      <c r="K106" s="25">
        <f t="shared" ref="K106:L106" si="104">IFERROR((K75-K104)/K66,"")</f>
        <v>0.95886363636363636</v>
      </c>
      <c r="L106" s="25">
        <f t="shared" si="104"/>
        <v>3.3020408163265307</v>
      </c>
      <c r="M106" s="25">
        <f t="shared" si="102"/>
        <v>50.517241379310342</v>
      </c>
    </row>
    <row r="107" spans="1:13" x14ac:dyDescent="0.3">
      <c r="A107" s="8" t="s">
        <v>159</v>
      </c>
      <c r="B107" s="10"/>
      <c r="C107" s="10"/>
      <c r="D107" s="10"/>
      <c r="E107" s="10"/>
      <c r="F107" s="10"/>
      <c r="G107" s="10"/>
      <c r="H107" s="10"/>
      <c r="I107" s="10"/>
      <c r="J107" s="10"/>
      <c r="K107" s="10"/>
      <c r="L107" s="10"/>
      <c r="M107" s="10"/>
    </row>
    <row r="108" spans="1:13" x14ac:dyDescent="0.3">
      <c r="A108" s="31" t="s">
        <v>160</v>
      </c>
      <c r="B108" s="21">
        <f>B33</f>
        <v>3445</v>
      </c>
      <c r="C108" s="21">
        <f t="shared" ref="C108:H108" si="105">C33</f>
        <v>3327</v>
      </c>
      <c r="D108" s="21">
        <f t="shared" si="105"/>
        <v>3054</v>
      </c>
      <c r="E108" s="21">
        <f t="shared" si="105"/>
        <v>3288</v>
      </c>
      <c r="F108" s="21">
        <f t="shared" si="105"/>
        <v>3478</v>
      </c>
      <c r="G108" s="21">
        <f t="shared" si="105"/>
        <v>4125</v>
      </c>
      <c r="H108" s="21">
        <f t="shared" si="105"/>
        <v>4347</v>
      </c>
      <c r="I108" s="21">
        <f t="shared" ref="I108:J108" si="106">I33</f>
        <v>5297</v>
      </c>
      <c r="J108" s="21">
        <f t="shared" si="106"/>
        <v>6301</v>
      </c>
      <c r="K108" s="21">
        <f t="shared" ref="K108:L108" si="107">K33</f>
        <v>7516</v>
      </c>
      <c r="L108" s="21">
        <f t="shared" si="107"/>
        <v>8671</v>
      </c>
      <c r="M108" s="21">
        <f>M33</f>
        <v>9859</v>
      </c>
    </row>
    <row r="109" spans="1:13" x14ac:dyDescent="0.3">
      <c r="A109" s="31" t="s">
        <v>161</v>
      </c>
      <c r="B109" s="21">
        <f>-B43</f>
        <v>-3062</v>
      </c>
      <c r="C109" s="21">
        <f t="shared" ref="C109:H109" si="108">-C43</f>
        <v>-3153</v>
      </c>
      <c r="D109" s="21">
        <f t="shared" si="108"/>
        <v>-3266</v>
      </c>
      <c r="E109" s="21">
        <f t="shared" si="108"/>
        <v>-3190</v>
      </c>
      <c r="F109" s="21">
        <f t="shared" si="108"/>
        <v>-3537</v>
      </c>
      <c r="G109" s="21">
        <f t="shared" si="108"/>
        <v>-3829</v>
      </c>
      <c r="H109" s="21">
        <f t="shared" si="108"/>
        <v>-4424</v>
      </c>
      <c r="I109" s="21">
        <f t="shared" ref="I109:J109" si="109">-I43</f>
        <v>-5060</v>
      </c>
      <c r="J109" s="21">
        <f t="shared" si="109"/>
        <v>-5676</v>
      </c>
      <c r="K109" s="21">
        <f t="shared" ref="K109:L109" si="110">-K43</f>
        <v>-7775</v>
      </c>
      <c r="L109" s="21">
        <f t="shared" si="110"/>
        <v>-7139</v>
      </c>
      <c r="M109" s="21">
        <f>-M43</f>
        <v>-6149</v>
      </c>
    </row>
    <row r="110" spans="1:13" x14ac:dyDescent="0.3">
      <c r="A110" s="31" t="s">
        <v>162</v>
      </c>
      <c r="B110" s="21">
        <f>B24</f>
        <v>7099</v>
      </c>
      <c r="C110" s="21">
        <f t="shared" ref="C110:H110" si="111">C24</f>
        <v>6306</v>
      </c>
      <c r="D110" s="21">
        <f t="shared" si="111"/>
        <v>6006</v>
      </c>
      <c r="E110" s="21">
        <f t="shared" si="111"/>
        <v>6182</v>
      </c>
      <c r="F110" s="21">
        <f t="shared" si="111"/>
        <v>7170</v>
      </c>
      <c r="G110" s="21">
        <f t="shared" si="111"/>
        <v>9002</v>
      </c>
      <c r="H110" s="21">
        <f t="shared" si="111"/>
        <v>10767</v>
      </c>
      <c r="I110" s="21">
        <f t="shared" ref="I110:J110" si="112">I24</f>
        <v>12401</v>
      </c>
      <c r="J110" s="21">
        <f t="shared" si="112"/>
        <v>15582</v>
      </c>
      <c r="K110" s="21">
        <f t="shared" ref="K110:L110" si="113">K24</f>
        <v>20243</v>
      </c>
      <c r="L110" s="21">
        <f t="shared" si="113"/>
        <v>20242</v>
      </c>
      <c r="M110" s="21">
        <f>M24</f>
        <v>20441</v>
      </c>
    </row>
    <row r="111" spans="1:13" x14ac:dyDescent="0.3">
      <c r="A111" s="31" t="s">
        <v>163</v>
      </c>
      <c r="B111" s="21">
        <f>-B57</f>
        <v>-1621</v>
      </c>
      <c r="C111" s="21">
        <f t="shared" ref="C111:H111" si="114">-C57</f>
        <v>-6580</v>
      </c>
      <c r="D111" s="21">
        <f t="shared" si="114"/>
        <v>-5687</v>
      </c>
      <c r="E111" s="21">
        <f t="shared" si="114"/>
        <v>-3718</v>
      </c>
      <c r="F111" s="21">
        <f t="shared" si="114"/>
        <v>-3512</v>
      </c>
      <c r="G111" s="21">
        <f t="shared" si="114"/>
        <v>-3388</v>
      </c>
      <c r="H111" s="21">
        <f t="shared" si="114"/>
        <v>-3560</v>
      </c>
      <c r="I111" s="21">
        <f t="shared" ref="I111:J111" si="115">-I57</f>
        <v>-3811</v>
      </c>
      <c r="J111" s="21">
        <f t="shared" si="115"/>
        <v>-4057</v>
      </c>
      <c r="K111" s="21">
        <f t="shared" ref="K111:L111" si="116">-K57</f>
        <v>-7560</v>
      </c>
      <c r="L111" s="21">
        <f t="shared" si="116"/>
        <v>-8858</v>
      </c>
      <c r="M111" s="21">
        <f>-M57</f>
        <v>-8339</v>
      </c>
    </row>
    <row r="112" spans="1:13" x14ac:dyDescent="0.3">
      <c r="A112" s="31" t="s">
        <v>164</v>
      </c>
      <c r="B112" s="21">
        <f>SUM(B108:B111)</f>
        <v>5861</v>
      </c>
      <c r="C112" s="21">
        <f t="shared" ref="C112:H112" si="117">SUM(C108:C111)</f>
        <v>-100</v>
      </c>
      <c r="D112" s="21">
        <f t="shared" si="117"/>
        <v>107</v>
      </c>
      <c r="E112" s="21">
        <f t="shared" si="117"/>
        <v>2562</v>
      </c>
      <c r="F112" s="21">
        <f t="shared" si="117"/>
        <v>3599</v>
      </c>
      <c r="G112" s="21">
        <f t="shared" si="117"/>
        <v>5910</v>
      </c>
      <c r="H112" s="21">
        <f t="shared" si="117"/>
        <v>7130</v>
      </c>
      <c r="I112" s="21">
        <f t="shared" ref="I112:J112" si="118">SUM(I108:I111)</f>
        <v>8827</v>
      </c>
      <c r="J112" s="21">
        <f t="shared" si="118"/>
        <v>12150</v>
      </c>
      <c r="K112" s="21">
        <f t="shared" ref="K112:L112" si="119">SUM(K108:K111)</f>
        <v>12424</v>
      </c>
      <c r="L112" s="21">
        <f t="shared" si="119"/>
        <v>12916</v>
      </c>
      <c r="M112" s="21">
        <f>SUM(M108:M111)</f>
        <v>15812</v>
      </c>
    </row>
    <row r="113" spans="1:13" x14ac:dyDescent="0.3">
      <c r="A113" s="8" t="s">
        <v>165</v>
      </c>
      <c r="B113" s="10"/>
      <c r="C113" s="10"/>
      <c r="D113" s="10"/>
      <c r="E113" s="10"/>
      <c r="F113" s="10"/>
      <c r="G113" s="10"/>
      <c r="H113" s="10"/>
      <c r="I113" s="10"/>
      <c r="J113" s="10"/>
      <c r="K113" s="10"/>
      <c r="L113" s="10"/>
      <c r="M113" s="10"/>
    </row>
    <row r="114" spans="1:13" x14ac:dyDescent="0.3">
      <c r="A114" s="31" t="s">
        <v>166</v>
      </c>
      <c r="B114" s="204">
        <f>IFERROR((B40/'Annual Inc Statement Reported'!B13)*12,"")</f>
        <v>1.5297608010383832</v>
      </c>
      <c r="C114" s="204">
        <f>IFERROR((C40/'Annual Inc Statement Reported'!C13)*12,"")</f>
        <v>1.6059249052704101</v>
      </c>
      <c r="D114" s="204">
        <f>IFERROR((D40/'Annual Inc Statement Reported'!D13)*12,"")</f>
        <v>1.5831683168316832</v>
      </c>
      <c r="E114" s="204">
        <f>IFERROR((E40/'Annual Inc Statement Reported'!E13)*12,"")</f>
        <v>1.6349539654336942</v>
      </c>
      <c r="F114" s="204">
        <f>IFERROR((F40/'Annual Inc Statement Reported'!F13)*12,"")</f>
        <v>1.6220614828209765</v>
      </c>
      <c r="G114" s="204">
        <f>IFERROR((G40/'Annual Inc Statement Reported'!G13)*12,"")</f>
        <v>1.5731179694260167</v>
      </c>
      <c r="H114" s="204">
        <f>IFERROR((H40/'Annual Inc Statement Reported'!H13)*12,"")</f>
        <v>1.6948967772705594</v>
      </c>
      <c r="I114" s="204">
        <f>IFERROR((I40/'Annual Inc Statement Reported'!I13)*12,"")</f>
        <v>1.7927639675116911</v>
      </c>
      <c r="J114" s="204">
        <f>IFERROR((J40/'Annual Inc Statement Reported'!J13)*12,"")</f>
        <v>1.811031494750875</v>
      </c>
      <c r="K114" s="204">
        <f>IFERROR((K40/'Annual Inc Statement Reported'!K13)*12,"")</f>
        <v>2.5723694527207153</v>
      </c>
      <c r="L114" s="204">
        <f>IFERROR((L40/'Annual Inc Statement Reported'!L13)*12,"")</f>
        <v>4.7605006000342875</v>
      </c>
      <c r="M114" s="204">
        <f>IFERROR((M40/'Annual Inc Statement Reported'!M13)*12,"")</f>
        <v>5.1565836298932384</v>
      </c>
    </row>
    <row r="115" spans="1:13" x14ac:dyDescent="0.3">
      <c r="A115" s="31" t="s">
        <v>167</v>
      </c>
      <c r="B115" s="21">
        <f>B44</f>
        <v>383</v>
      </c>
      <c r="C115" s="21">
        <f t="shared" ref="C115:M115" si="120">C44</f>
        <v>174</v>
      </c>
      <c r="D115" s="21">
        <f t="shared" si="120"/>
        <v>-212</v>
      </c>
      <c r="E115" s="21">
        <f t="shared" si="120"/>
        <v>98</v>
      </c>
      <c r="F115" s="21">
        <f t="shared" si="120"/>
        <v>-59</v>
      </c>
      <c r="G115" s="21">
        <f t="shared" si="120"/>
        <v>296</v>
      </c>
      <c r="H115" s="21">
        <f t="shared" si="120"/>
        <v>-77</v>
      </c>
      <c r="I115" s="21">
        <f t="shared" ref="I115:J115" si="121">I44</f>
        <v>237</v>
      </c>
      <c r="J115" s="21">
        <f t="shared" si="121"/>
        <v>625</v>
      </c>
      <c r="K115" s="21">
        <f t="shared" ref="K115:L115" si="122">K44</f>
        <v>-259</v>
      </c>
      <c r="L115" s="21">
        <f t="shared" si="122"/>
        <v>1532</v>
      </c>
      <c r="M115" s="21">
        <f t="shared" si="120"/>
        <v>3710</v>
      </c>
    </row>
    <row r="116" spans="1:13" x14ac:dyDescent="0.3">
      <c r="A116" s="31" t="s">
        <v>168</v>
      </c>
      <c r="B116" s="25">
        <f>IFERROR(B33/B43,"")</f>
        <v>1.1250816459830177</v>
      </c>
      <c r="C116" s="25">
        <f t="shared" ref="C116:M116" si="123">IFERROR(C33/C43,"")</f>
        <v>1.055185537583254</v>
      </c>
      <c r="D116" s="25">
        <f t="shared" si="123"/>
        <v>0.93508879363135333</v>
      </c>
      <c r="E116" s="25">
        <f t="shared" si="123"/>
        <v>1.0307210031347962</v>
      </c>
      <c r="F116" s="25">
        <f t="shared" si="123"/>
        <v>0.98331919705965509</v>
      </c>
      <c r="G116" s="25">
        <f t="shared" si="123"/>
        <v>1.0773047793157482</v>
      </c>
      <c r="H116" s="25">
        <f t="shared" si="123"/>
        <v>0.98259493670886078</v>
      </c>
      <c r="I116" s="25">
        <f t="shared" ref="I116:J116" si="124">IFERROR(I33/I43,"")</f>
        <v>1.0468379446640317</v>
      </c>
      <c r="J116" s="25">
        <f t="shared" si="124"/>
        <v>1.1101127554615926</v>
      </c>
      <c r="K116" s="25">
        <f t="shared" ref="K116:L116" si="125">IFERROR(K33/K43,"")</f>
        <v>0.96668810289389062</v>
      </c>
      <c r="L116" s="25">
        <f t="shared" si="125"/>
        <v>1.2145958817761591</v>
      </c>
      <c r="M116" s="25">
        <f t="shared" si="123"/>
        <v>1.6033501382338591</v>
      </c>
    </row>
    <row r="117" spans="1:13" x14ac:dyDescent="0.3">
      <c r="A117" s="31" t="s">
        <v>169</v>
      </c>
      <c r="B117" s="25">
        <f>IFERROR((B25+B26+B30)/B43,"")</f>
        <v>0.92521227955584584</v>
      </c>
      <c r="C117" s="25">
        <f t="shared" ref="C117:M117" si="126">IFERROR((C25+C26+C30)/C43,"")</f>
        <v>0.89153187440532822</v>
      </c>
      <c r="D117" s="25">
        <f t="shared" si="126"/>
        <v>0.78873239436619713</v>
      </c>
      <c r="E117" s="25">
        <f t="shared" si="126"/>
        <v>0.87680250783699054</v>
      </c>
      <c r="F117" s="25">
        <f t="shared" si="126"/>
        <v>0.82866836301950808</v>
      </c>
      <c r="G117" s="25">
        <f t="shared" si="126"/>
        <v>0.86863410812222508</v>
      </c>
      <c r="H117" s="25">
        <f t="shared" si="126"/>
        <v>0.83318264014466548</v>
      </c>
      <c r="I117" s="25">
        <f t="shared" ref="I117:J117" si="127">IFERROR((I25+I26+I30)/I43,"")</f>
        <v>0.91264822134387347</v>
      </c>
      <c r="J117" s="25">
        <f t="shared" si="127"/>
        <v>0.96952078928823116</v>
      </c>
      <c r="K117" s="25">
        <f t="shared" ref="K117:L117" si="128">IFERROR((K25+K26+K30)/K43,"")</f>
        <v>0.8765273311897106</v>
      </c>
      <c r="L117" s="25">
        <f t="shared" si="128"/>
        <v>1.1409160946911332</v>
      </c>
      <c r="M117" s="25">
        <f t="shared" si="126"/>
        <v>1.5361847454870712</v>
      </c>
    </row>
    <row r="118" spans="1:13" x14ac:dyDescent="0.3">
      <c r="A118" s="31" t="s">
        <v>170</v>
      </c>
      <c r="B118" s="25">
        <f>IFERROR(B30/B38,"")</f>
        <v>0.54230118443316411</v>
      </c>
      <c r="C118" s="25">
        <f t="shared" ref="C118:M118" si="129">IFERROR(C30/C38,"")</f>
        <v>0.6059574468085106</v>
      </c>
      <c r="D118" s="25">
        <f t="shared" si="129"/>
        <v>0.47372954349698537</v>
      </c>
      <c r="E118" s="25">
        <f t="shared" si="129"/>
        <v>0.52170062001771478</v>
      </c>
      <c r="F118" s="25">
        <f t="shared" si="129"/>
        <v>0.52104845115170773</v>
      </c>
      <c r="G118" s="25">
        <f t="shared" si="129"/>
        <v>0.43981170141223941</v>
      </c>
      <c r="H118" s="25">
        <f t="shared" si="129"/>
        <v>0.43004866180048662</v>
      </c>
      <c r="I118" s="25">
        <f t="shared" ref="I118:J118" si="130">IFERROR(I30/I38,"")</f>
        <v>0.41509433962264153</v>
      </c>
      <c r="J118" s="25">
        <f t="shared" si="130"/>
        <v>0.41653584510727371</v>
      </c>
      <c r="K118" s="25">
        <f t="shared" ref="K118:L118" si="131">IFERROR(K30/K38,"")</f>
        <v>0.37703583061889251</v>
      </c>
      <c r="L118" s="25">
        <f t="shared" si="131"/>
        <v>0.26125760649087221</v>
      </c>
      <c r="M118" s="25">
        <f t="shared" si="129"/>
        <v>0.31781290046988464</v>
      </c>
    </row>
    <row r="119" spans="1:13" x14ac:dyDescent="0.3">
      <c r="A119" s="31" t="s">
        <v>171</v>
      </c>
      <c r="B119" s="205">
        <f>IFERROR((B30/'Annual Inc Statement Reported'!B13)*365,"")</f>
        <v>21.691544594845169</v>
      </c>
      <c r="C119" s="205">
        <f>IFERROR((C30/'Annual Inc Statement Reported'!C13)*365,"")</f>
        <v>22.380296245263519</v>
      </c>
      <c r="D119" s="205">
        <f>IFERROR((D30/'Annual Inc Statement Reported'!D13)*365,"")</f>
        <v>16.563531353135314</v>
      </c>
      <c r="E119" s="205">
        <f>IFERROR((E30/'Annual Inc Statement Reported'!E13)*365,"")</f>
        <v>17.362703925052497</v>
      </c>
      <c r="F119" s="205">
        <f>IFERROR((F30/'Annual Inc Statement Reported'!F13)*365,"")</f>
        <v>18.04098854731766</v>
      </c>
      <c r="G119" s="205">
        <f>IFERROR((G30/'Annual Inc Statement Reported'!G13)*365,"")</f>
        <v>17.213008364580329</v>
      </c>
      <c r="H119" s="205">
        <f>IFERROR((H30/'Annual Inc Statement Reported'!H13)*365,"")</f>
        <v>17.582271581385843</v>
      </c>
      <c r="I119" s="205">
        <f>IFERROR((I30/'Annual Inc Statement Reported'!I13)*365,"")</f>
        <v>18.281442284026582</v>
      </c>
      <c r="J119" s="205">
        <f>IFERROR((J30/'Annual Inc Statement Reported'!J13)*365,"")</f>
        <v>16.138421374215408</v>
      </c>
      <c r="K119" s="205">
        <f>IFERROR((K30/'Annual Inc Statement Reported'!K13)*365,"")</f>
        <v>17.667137107312737</v>
      </c>
      <c r="L119" s="205">
        <f>IFERROR((L30/'Annual Inc Statement Reported'!L13)*365,"")</f>
        <v>40.298302760157725</v>
      </c>
      <c r="M119" s="205">
        <f>IFERROR((M30/'Annual Inc Statement Reported'!M13)*365,"")</f>
        <v>60.40035587188612</v>
      </c>
    </row>
    <row r="120" spans="1:13" x14ac:dyDescent="0.3">
      <c r="A120" s="31" t="s">
        <v>172</v>
      </c>
      <c r="B120" s="205">
        <f>IFERROR((B38/-('Annual Inc Statement Reported'!B24+'Annual Inc Statement Reported'!B27))*365,"")</f>
        <v>44.267391750461726</v>
      </c>
      <c r="C120" s="205">
        <f>IFERROR((C38/-('Annual Inc Statement Reported'!C24+'Annual Inc Statement Reported'!C27))*365,"")</f>
        <v>40.063054647361049</v>
      </c>
      <c r="D120" s="205">
        <f>IFERROR((D38/-('Annual Inc Statement Reported'!D24+'Annual Inc Statement Reported'!D27))*365,"")</f>
        <v>38.50658791458428</v>
      </c>
      <c r="E120" s="205">
        <f>IFERROR((E38/-('Annual Inc Statement Reported'!E24+'Annual Inc Statement Reported'!E27))*365,"")</f>
        <v>36.842646401430486</v>
      </c>
      <c r="F120" s="205">
        <f>IFERROR((F38/-('Annual Inc Statement Reported'!F24+'Annual Inc Statement Reported'!F27))*365,"")</f>
        <v>38.571008897095851</v>
      </c>
      <c r="G120" s="205">
        <f>IFERROR((G38/-('Annual Inc Statement Reported'!G24+'Annual Inc Statement Reported'!G27))*365,"")</f>
        <v>46.353659578102317</v>
      </c>
      <c r="H120" s="205">
        <f>IFERROR((H38/-('Annual Inc Statement Reported'!H24+'Annual Inc Statement Reported'!H27))*365,"")</f>
        <v>48.294567404426559</v>
      </c>
      <c r="I120" s="205">
        <f>IFERROR((I38/-('Annual Inc Statement Reported'!I24+'Annual Inc Statement Reported'!I27))*365,"")</f>
        <v>51.486476765932956</v>
      </c>
      <c r="J120" s="205">
        <f>IFERROR((J38/-('Annual Inc Statement Reported'!J24+'Annual Inc Statement Reported'!J27))*365,"")</f>
        <v>47.161257606490871</v>
      </c>
      <c r="K120" s="205">
        <f>IFERROR((K38/-('Annual Inc Statement Reported'!K24+'Annual Inc Statement Reported'!K27))*365,"")</f>
        <v>57.853501129396584</v>
      </c>
      <c r="L120" s="205">
        <f>IFERROR((L38/-('Annual Inc Statement Reported'!L24+'Annual Inc Statement Reported'!L27))*365,"")</f>
        <v>120.78466908309839</v>
      </c>
      <c r="M120" s="205">
        <f>IFERROR((M38/-('Annual Inc Statement Reported'!M24+'Annual Inc Statement Reported'!M27))*365,"")</f>
        <v>133.69816930057894</v>
      </c>
    </row>
    <row r="121" spans="1:13" x14ac:dyDescent="0.3">
      <c r="A121" s="31" t="s">
        <v>173</v>
      </c>
      <c r="B121" s="205">
        <f>IFERROR(B28/-'Annual Inc Statement Reported'!B17*365,"")</f>
        <v>83.567208271787294</v>
      </c>
      <c r="C121" s="205">
        <f>IFERROR(C28/-'Annual Inc Statement Reported'!C17*365,"")</f>
        <v>99.155653450807634</v>
      </c>
      <c r="D121" s="205">
        <f>IFERROR(D28/-'Annual Inc Statement Reported'!D17*365,"")</f>
        <v>81.473214285714292</v>
      </c>
      <c r="E121" s="205">
        <f>IFERROR(E28/-'Annual Inc Statement Reported'!E17*365,"")</f>
        <v>78.544303797468359</v>
      </c>
      <c r="F121" s="205">
        <f>IFERROR(F28/-'Annual Inc Statement Reported'!F17*365,"")</f>
        <v>81.723901098901109</v>
      </c>
      <c r="G121" s="205">
        <f>IFERROR(G28/-'Annual Inc Statement Reported'!G17*365,"")</f>
        <v>85.9379042690815</v>
      </c>
      <c r="H121" s="205">
        <f>IFERROR(H28/-'Annual Inc Statement Reported'!H17*365,"")</f>
        <v>77.147727272727266</v>
      </c>
      <c r="I121" s="205">
        <f>IFERROR(I28/-'Annual Inc Statement Reported'!I17*365,"")</f>
        <v>80.159914712153522</v>
      </c>
      <c r="J121" s="205">
        <f>IFERROR(J28/-'Annual Inc Statement Reported'!J17*365,"")</f>
        <v>88.925802879291254</v>
      </c>
      <c r="K121" s="205">
        <f>IFERROR(K28/-'Annual Inc Statement Reported'!K17*365,"")</f>
        <v>77.071713147410364</v>
      </c>
      <c r="L121" s="205">
        <f>IFERROR(L28/-'Annual Inc Statement Reported'!L17*365,"")</f>
        <v>88.972099853157118</v>
      </c>
      <c r="M121" s="205">
        <f>IFERROR(M28/-'Annual Inc Statement Reported'!M17*365,"")</f>
        <v>110.98373983739837</v>
      </c>
    </row>
    <row r="122" spans="1:13" x14ac:dyDescent="0.3">
      <c r="A122" s="8" t="s">
        <v>174</v>
      </c>
      <c r="B122" s="10"/>
      <c r="C122" s="10"/>
      <c r="D122" s="10"/>
      <c r="E122" s="10"/>
      <c r="F122" s="10"/>
      <c r="G122" s="10"/>
      <c r="H122" s="10"/>
      <c r="I122" s="10"/>
      <c r="J122" s="10"/>
      <c r="K122" s="10"/>
      <c r="L122" s="10"/>
      <c r="M122" s="10"/>
    </row>
    <row r="123" spans="1:13" x14ac:dyDescent="0.3">
      <c r="A123" s="31" t="s">
        <v>175</v>
      </c>
      <c r="B123" s="5">
        <f t="shared" ref="B123:M123" si="132">B66-B16</f>
        <v>1069</v>
      </c>
      <c r="C123" s="5">
        <f t="shared" si="132"/>
        <v>-4629</v>
      </c>
      <c r="D123" s="5">
        <f t="shared" si="132"/>
        <v>-3967</v>
      </c>
      <c r="E123" s="5">
        <f t="shared" si="132"/>
        <v>-2012</v>
      </c>
      <c r="F123" s="5">
        <f t="shared" si="132"/>
        <v>-1749</v>
      </c>
      <c r="G123" s="5">
        <f t="shared" si="132"/>
        <v>-585</v>
      </c>
      <c r="H123" s="5">
        <f t="shared" si="132"/>
        <v>593</v>
      </c>
      <c r="I123" s="5">
        <f t="shared" ref="I123:K123" si="133">I66-I16</f>
        <v>2750</v>
      </c>
      <c r="J123" s="5">
        <f t="shared" si="133"/>
        <v>2562</v>
      </c>
      <c r="K123" s="5">
        <f t="shared" si="133"/>
        <v>125</v>
      </c>
      <c r="L123" s="5">
        <f t="shared" ref="L123" si="134">L66-L16</f>
        <v>-2692</v>
      </c>
      <c r="M123" s="5">
        <f t="shared" si="132"/>
        <v>-4223</v>
      </c>
    </row>
    <row r="124" spans="1:13" x14ac:dyDescent="0.3">
      <c r="A124" s="31" t="s">
        <v>176</v>
      </c>
      <c r="B124" s="32"/>
      <c r="C124" s="32"/>
      <c r="D124" s="32"/>
      <c r="E124" s="32"/>
      <c r="F124" s="32"/>
      <c r="G124" s="32"/>
      <c r="H124" s="32"/>
      <c r="I124" s="32"/>
      <c r="J124" s="32"/>
      <c r="K124" s="32"/>
      <c r="L124" s="32"/>
      <c r="M124" s="32"/>
    </row>
    <row r="125" spans="1:13" x14ac:dyDescent="0.3">
      <c r="A125" s="31" t="s">
        <v>177</v>
      </c>
      <c r="B125" s="2">
        <f t="shared" ref="B125:M125" si="135">IFERROR(B124/B66,"N/A")</f>
        <v>0</v>
      </c>
      <c r="C125" s="2">
        <f t="shared" si="135"/>
        <v>0</v>
      </c>
      <c r="D125" s="2">
        <f t="shared" si="135"/>
        <v>0</v>
      </c>
      <c r="E125" s="2">
        <f t="shared" si="135"/>
        <v>0</v>
      </c>
      <c r="F125" s="2">
        <f t="shared" si="135"/>
        <v>0</v>
      </c>
      <c r="G125" s="2">
        <f t="shared" si="135"/>
        <v>0</v>
      </c>
      <c r="H125" s="2">
        <f t="shared" si="135"/>
        <v>0</v>
      </c>
      <c r="I125" s="2">
        <f t="shared" ref="I125:J125" si="136">IFERROR(I124/I66,"N/A")</f>
        <v>0</v>
      </c>
      <c r="J125" s="2">
        <f t="shared" si="136"/>
        <v>0</v>
      </c>
      <c r="K125" s="2">
        <f t="shared" ref="K125:L125" si="137">IFERROR(K124/K66,"N/A")</f>
        <v>0</v>
      </c>
      <c r="L125" s="2">
        <f t="shared" si="137"/>
        <v>0</v>
      </c>
      <c r="M125" s="2">
        <f t="shared" si="135"/>
        <v>0</v>
      </c>
    </row>
    <row r="126" spans="1:13" x14ac:dyDescent="0.3">
      <c r="A126" s="31" t="s">
        <v>178</v>
      </c>
      <c r="B126" s="2">
        <f t="shared" ref="B126:M126" si="138">IFERROR(B124/B123,"N/A")</f>
        <v>0</v>
      </c>
      <c r="C126" s="2">
        <f t="shared" si="138"/>
        <v>0</v>
      </c>
      <c r="D126" s="2">
        <f t="shared" si="138"/>
        <v>0</v>
      </c>
      <c r="E126" s="2">
        <f t="shared" si="138"/>
        <v>0</v>
      </c>
      <c r="F126" s="2">
        <f t="shared" si="138"/>
        <v>0</v>
      </c>
      <c r="G126" s="2">
        <f t="shared" si="138"/>
        <v>0</v>
      </c>
      <c r="H126" s="2">
        <f t="shared" si="138"/>
        <v>0</v>
      </c>
      <c r="I126" s="2">
        <f t="shared" ref="I126:J126" si="139">IFERROR(I124/I123,"N/A")</f>
        <v>0</v>
      </c>
      <c r="J126" s="2">
        <f t="shared" si="139"/>
        <v>0</v>
      </c>
      <c r="K126" s="2">
        <f t="shared" ref="K126:L126" si="140">IFERROR(K124/K123,"N/A")</f>
        <v>0</v>
      </c>
      <c r="L126" s="2">
        <f t="shared" si="140"/>
        <v>0</v>
      </c>
      <c r="M126" s="2">
        <f t="shared" si="138"/>
        <v>0</v>
      </c>
    </row>
    <row r="127" spans="1:13" x14ac:dyDescent="0.3">
      <c r="A127" s="31" t="s">
        <v>179</v>
      </c>
      <c r="B127" s="12">
        <f t="shared" ref="B127:M127" si="141">B124+B72</f>
        <v>2265</v>
      </c>
      <c r="C127" s="12">
        <f t="shared" si="141"/>
        <v>2231</v>
      </c>
      <c r="D127" s="12">
        <f t="shared" si="141"/>
        <v>1929</v>
      </c>
      <c r="E127" s="12">
        <f t="shared" si="141"/>
        <v>2125</v>
      </c>
      <c r="F127" s="12">
        <f t="shared" si="141"/>
        <v>2941</v>
      </c>
      <c r="G127" s="12">
        <f t="shared" si="141"/>
        <v>3722</v>
      </c>
      <c r="H127" s="12">
        <f t="shared" si="141"/>
        <v>3639</v>
      </c>
      <c r="I127" s="12">
        <f t="shared" ref="I127:J127" si="142">I124+I72</f>
        <v>2315</v>
      </c>
      <c r="J127" s="12">
        <f t="shared" si="142"/>
        <v>5214</v>
      </c>
      <c r="K127" s="12">
        <f t="shared" ref="K127:L127" si="143">K124+K72</f>
        <v>3353</v>
      </c>
      <c r="L127" s="12">
        <f t="shared" si="143"/>
        <v>5488</v>
      </c>
      <c r="M127" s="12">
        <f t="shared" si="141"/>
        <v>7980</v>
      </c>
    </row>
    <row r="128" spans="1:13" x14ac:dyDescent="0.3">
      <c r="A128" s="31" t="s">
        <v>180</v>
      </c>
      <c r="B128" s="12">
        <f t="shared" ref="B128:M128" si="144">B124+B75</f>
        <v>4687</v>
      </c>
      <c r="C128" s="12">
        <f t="shared" si="144"/>
        <v>4576</v>
      </c>
      <c r="D128" s="12">
        <f t="shared" si="144"/>
        <v>4281</v>
      </c>
      <c r="E128" s="12">
        <f t="shared" si="144"/>
        <v>4351</v>
      </c>
      <c r="F128" s="12">
        <f t="shared" si="144"/>
        <v>5132</v>
      </c>
      <c r="G128" s="12">
        <f t="shared" si="144"/>
        <v>6193</v>
      </c>
      <c r="H128" s="12">
        <f t="shared" si="144"/>
        <v>6873</v>
      </c>
      <c r="I128" s="12">
        <f t="shared" ref="I128:J128" si="145">I124+I75</f>
        <v>5836</v>
      </c>
      <c r="J128" s="12">
        <f t="shared" si="145"/>
        <v>5214</v>
      </c>
      <c r="K128" s="12">
        <f t="shared" ref="K128:L128" si="146">K124+K75</f>
        <v>3353</v>
      </c>
      <c r="L128" s="12">
        <f t="shared" si="146"/>
        <v>5488</v>
      </c>
      <c r="M128" s="12">
        <f t="shared" si="144"/>
        <v>7980</v>
      </c>
    </row>
    <row r="129" spans="1:13" x14ac:dyDescent="0.3">
      <c r="A129" s="85" t="s">
        <v>471</v>
      </c>
      <c r="B129" s="25">
        <f>IFERROR(B127/'Annual Inc Statement Reported'!B28,"")</f>
        <v>2.1778846153846154</v>
      </c>
      <c r="C129" s="25">
        <f>IFERROR(C127/'Annual Inc Statement Reported'!C28,"")</f>
        <v>2.4597574421168686</v>
      </c>
      <c r="D129" s="25">
        <f>IFERROR(D127/'Annual Inc Statement Reported'!D28,"")</f>
        <v>1.7300448430493274</v>
      </c>
      <c r="E129" s="25">
        <f>IFERROR(E127/'Annual Inc Statement Reported'!E28,"")</f>
        <v>1.7752715121136173</v>
      </c>
      <c r="F129" s="25">
        <f>IFERROR(F127/'Annual Inc Statement Reported'!F28,"")</f>
        <v>2.1656848306332841</v>
      </c>
      <c r="G129" s="25">
        <f>IFERROR(G127/'Annual Inc Statement Reported'!G28,"")</f>
        <v>1.7239462714219547</v>
      </c>
      <c r="H129" s="25">
        <f>IFERROR(H127/'Annual Inc Statement Reported'!H28,"")</f>
        <v>1.6158969804618117</v>
      </c>
      <c r="I129" s="25">
        <f>IFERROR(I127/'Annual Inc Statement Reported'!I28,"")</f>
        <v>0.98510638297872344</v>
      </c>
      <c r="J129" s="25">
        <f>IFERROR(J127/'Annual Inc Statement Reported'!J28,"")</f>
        <v>1.6227824463118581</v>
      </c>
      <c r="K129" s="25">
        <f>IFERROR(K127/'Annual Inc Statement Reported'!K28,"")</f>
        <v>0.92216721672167212</v>
      </c>
      <c r="L129" s="25">
        <f>IFERROR(L127/'Annual Inc Statement Reported'!L28,"")</f>
        <v>-3.3960396039603959</v>
      </c>
      <c r="M129" s="25">
        <f>IFERROR(M127/'Annual Inc Statement Reported'!M28,"")</f>
        <v>-4.211081794195251</v>
      </c>
    </row>
    <row r="130" spans="1:13" x14ac:dyDescent="0.3">
      <c r="A130" s="85" t="s">
        <v>472</v>
      </c>
      <c r="B130" s="25">
        <f>IFERROR(B128/'Annual Inc Statement Reported'!B26,"")</f>
        <v>3.3816738816738816</v>
      </c>
      <c r="C130" s="25">
        <f>IFERROR(C128/'Annual Inc Statement Reported'!C26,"")</f>
        <v>3.6843800322061191</v>
      </c>
      <c r="D130" s="25">
        <f>IFERROR(D128/'Annual Inc Statement Reported'!D26,"")</f>
        <v>2.9503790489317714</v>
      </c>
      <c r="E130" s="25">
        <f>IFERROR(E128/'Annual Inc Statement Reported'!E26,"")</f>
        <v>2.8719471947194721</v>
      </c>
      <c r="F130" s="25">
        <f>IFERROR(F128/'Annual Inc Statement Reported'!F26,"")</f>
        <v>3.0712148414123281</v>
      </c>
      <c r="G130" s="25">
        <f>IFERROR(G128/'Annual Inc Statement Reported'!G26,"")</f>
        <v>2.4653662420382165</v>
      </c>
      <c r="H130" s="25">
        <f>IFERROR(H128/'Annual Inc Statement Reported'!H26,"")</f>
        <v>2.5324244657332349</v>
      </c>
      <c r="I130" s="25">
        <f>IFERROR(I128/'Annual Inc Statement Reported'!I26,"")</f>
        <v>2.0455660708026637</v>
      </c>
      <c r="J130" s="25">
        <f>IFERROR(J128/'Annual Inc Statement Reported'!J26,"")</f>
        <v>1.6227824463118581</v>
      </c>
      <c r="K130" s="25">
        <f>IFERROR(K128/'Annual Inc Statement Reported'!K26,"")</f>
        <v>0.92216721672167212</v>
      </c>
      <c r="L130" s="25">
        <f>IFERROR(L128/'Annual Inc Statement Reported'!L26,"")</f>
        <v>-3.3960396039603959</v>
      </c>
      <c r="M130" s="25">
        <f>IFERROR(M128/'Annual Inc Statement Reported'!M26,"")</f>
        <v>-4.211081794195251</v>
      </c>
    </row>
    <row r="131" spans="1:13" x14ac:dyDescent="0.3">
      <c r="A131" s="8" t="s">
        <v>470</v>
      </c>
      <c r="B131" s="10"/>
      <c r="C131" s="10"/>
      <c r="D131" s="10"/>
      <c r="E131" s="10"/>
      <c r="F131" s="10"/>
      <c r="G131" s="10"/>
      <c r="H131" s="10"/>
      <c r="I131" s="10"/>
      <c r="J131" s="10"/>
      <c r="K131" s="10"/>
      <c r="L131" s="10"/>
      <c r="M131" s="10"/>
    </row>
    <row r="132" spans="1:13" x14ac:dyDescent="0.3">
      <c r="A132" s="31" t="s">
        <v>182</v>
      </c>
      <c r="B132" s="2"/>
      <c r="C132" s="2"/>
      <c r="D132" s="2"/>
      <c r="E132" s="2"/>
      <c r="F132" s="2"/>
      <c r="G132" s="2"/>
      <c r="H132" s="2"/>
      <c r="I132" s="2"/>
      <c r="J132" s="2"/>
      <c r="K132" s="2"/>
      <c r="L132" s="2"/>
      <c r="M132" s="2"/>
    </row>
    <row r="133" spans="1:13" x14ac:dyDescent="0.3">
      <c r="A133" s="31" t="s">
        <v>183</v>
      </c>
      <c r="B133" s="5"/>
      <c r="C133" s="5"/>
      <c r="D133" s="5"/>
      <c r="E133" s="5"/>
      <c r="F133" s="5"/>
      <c r="G133" s="5"/>
      <c r="H133" s="5"/>
      <c r="I133" s="5"/>
      <c r="J133" s="5"/>
      <c r="K133" s="5"/>
      <c r="L133" s="5"/>
      <c r="M133" s="5"/>
    </row>
    <row r="134" spans="1:13" x14ac:dyDescent="0.3">
      <c r="A134" s="31"/>
      <c r="B134" s="30"/>
      <c r="C134" s="30"/>
      <c r="D134" s="30"/>
      <c r="E134" s="30"/>
      <c r="F134" s="30"/>
      <c r="G134" s="30"/>
      <c r="H134" s="39"/>
      <c r="I134" s="218"/>
      <c r="J134" s="218"/>
      <c r="K134" s="218"/>
      <c r="L134" s="218"/>
      <c r="M134" s="218"/>
    </row>
  </sheetData>
  <mergeCells count="1">
    <mergeCell ref="A1:M1"/>
  </mergeCells>
  <pageMargins left="0.70866141732283472" right="0.70866141732283472" top="0.74803149606299213" bottom="0.74803149606299213" header="0.31496062992125984" footer="0.31496062992125984"/>
  <pageSetup paperSize="9" scale="45" orientation="portrait" r:id="rId1"/>
  <headerFooter alignWithMargins="0"/>
  <rowBreaks count="1" manualBreakCount="1">
    <brk id="68" max="8" man="1"/>
  </rowBreaks>
  <ignoredErrors>
    <ignoredError sqref="B13" formulaRange="1"/>
  </ignoredErrors>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
    <tabColor theme="4" tint="0.79998168889431442"/>
  </sheetPr>
  <dimension ref="A1:Y134"/>
  <sheetViews>
    <sheetView view="pageBreakPreview" zoomScaleNormal="100" zoomScaleSheetLayoutView="100" workbookViewId="0">
      <pane xSplit="1" ySplit="7" topLeftCell="B68" activePane="bottomRight" state="frozen"/>
      <selection pane="topRight" activeCell="B1" sqref="B1"/>
      <selection pane="bottomLeft" activeCell="A8" sqref="A8"/>
      <selection pane="bottomRight" activeCell="L73" sqref="L73"/>
    </sheetView>
  </sheetViews>
  <sheetFormatPr defaultColWidth="8.88671875" defaultRowHeight="14.4" x14ac:dyDescent="0.3"/>
  <cols>
    <col min="1" max="1" width="51.33203125" style="13" bestFit="1" customWidth="1"/>
    <col min="2" max="2" width="10" style="13" bestFit="1" customWidth="1"/>
    <col min="3" max="3" width="11" style="13" bestFit="1" customWidth="1"/>
    <col min="4" max="10" width="10" style="13" bestFit="1" customWidth="1"/>
    <col min="11" max="12" width="10" style="13" customWidth="1"/>
    <col min="13" max="13" width="10.5546875" style="13" bestFit="1" customWidth="1"/>
    <col min="14" max="16384" width="8.88671875" style="13"/>
  </cols>
  <sheetData>
    <row r="1" spans="1:25" ht="28.8" x14ac:dyDescent="0.55000000000000004">
      <c r="A1" s="349" t="str">
        <f>(Inputs!$E$9 &amp; " - Annual Balance Sheet " &amp; Inputs!$E$19)</f>
        <v>Air Canada - Annual Balance Sheet US$</v>
      </c>
      <c r="B1" s="349"/>
      <c r="C1" s="349"/>
      <c r="D1" s="349"/>
      <c r="E1" s="349"/>
      <c r="F1" s="349"/>
      <c r="G1" s="349"/>
      <c r="H1" s="349"/>
      <c r="I1" s="349"/>
      <c r="J1" s="349"/>
      <c r="K1" s="349"/>
      <c r="L1" s="349"/>
      <c r="M1" s="349"/>
      <c r="N1" s="69"/>
    </row>
    <row r="2" spans="1:25" x14ac:dyDescent="0.3">
      <c r="A2" s="3"/>
      <c r="B2" s="3" t="s">
        <v>11</v>
      </c>
      <c r="C2" s="3" t="s">
        <v>11</v>
      </c>
      <c r="D2" s="3" t="s">
        <v>11</v>
      </c>
      <c r="E2" s="3" t="s">
        <v>11</v>
      </c>
      <c r="F2" s="3" t="s">
        <v>11</v>
      </c>
      <c r="G2" s="3" t="s">
        <v>11</v>
      </c>
      <c r="H2" s="3" t="s">
        <v>11</v>
      </c>
      <c r="I2" s="3" t="s">
        <v>11</v>
      </c>
      <c r="J2" s="3" t="s">
        <v>11</v>
      </c>
      <c r="K2" s="3" t="s">
        <v>11</v>
      </c>
      <c r="L2" s="3" t="s">
        <v>11</v>
      </c>
      <c r="M2" s="3" t="s">
        <v>268</v>
      </c>
      <c r="N2" s="16"/>
      <c r="O2" s="16"/>
      <c r="P2" s="16"/>
      <c r="Q2" s="16"/>
      <c r="R2" s="16"/>
      <c r="S2" s="16"/>
      <c r="T2" s="16"/>
      <c r="U2" s="16"/>
      <c r="V2" s="16"/>
      <c r="W2" s="16"/>
      <c r="X2" s="16"/>
      <c r="Y2" s="16"/>
    </row>
    <row r="3" spans="1:25" x14ac:dyDescent="0.3">
      <c r="A3" s="3"/>
      <c r="B3" s="7">
        <f>'Annual Operational Data'!B3</f>
        <v>40543</v>
      </c>
      <c r="C3" s="7">
        <f>'Annual Operational Data'!C3</f>
        <v>40908</v>
      </c>
      <c r="D3" s="7">
        <f>'Annual Operational Data'!D3</f>
        <v>41274</v>
      </c>
      <c r="E3" s="7">
        <f>'Annual Operational Data'!E3</f>
        <v>41639</v>
      </c>
      <c r="F3" s="7">
        <f>'Annual Operational Data'!F3</f>
        <v>42004</v>
      </c>
      <c r="G3" s="7">
        <f>'Annual Operational Data'!G3</f>
        <v>42369</v>
      </c>
      <c r="H3" s="7">
        <f>'Annual Operational Data'!H3</f>
        <v>42735</v>
      </c>
      <c r="I3" s="7">
        <f>'Annual Operational Data'!I3</f>
        <v>43100</v>
      </c>
      <c r="J3" s="7">
        <f>'Annual Operational Data'!J3</f>
        <v>43465</v>
      </c>
      <c r="K3" s="7">
        <f>'Annual Operational Data'!K3</f>
        <v>43830</v>
      </c>
      <c r="L3" s="7">
        <f>'Annual Operational Data'!L3</f>
        <v>44196</v>
      </c>
      <c r="M3" s="7">
        <f>'Annual Operational Data'!M3</f>
        <v>44469</v>
      </c>
      <c r="N3" s="16"/>
      <c r="O3" s="16"/>
      <c r="P3" s="16"/>
      <c r="Q3" s="16"/>
      <c r="R3" s="16"/>
      <c r="S3" s="16"/>
      <c r="T3" s="16"/>
      <c r="U3" s="16"/>
      <c r="V3" s="16"/>
      <c r="W3" s="16"/>
      <c r="X3" s="16"/>
      <c r="Y3" s="16"/>
    </row>
    <row r="4" spans="1:25" x14ac:dyDescent="0.3">
      <c r="A4" s="3"/>
      <c r="B4" s="3" t="s">
        <v>1</v>
      </c>
      <c r="C4" s="3" t="s">
        <v>1</v>
      </c>
      <c r="D4" s="3" t="s">
        <v>1</v>
      </c>
      <c r="E4" s="3" t="s">
        <v>1</v>
      </c>
      <c r="F4" s="3" t="s">
        <v>1</v>
      </c>
      <c r="G4" s="3" t="s">
        <v>1</v>
      </c>
      <c r="H4" s="3" t="s">
        <v>1</v>
      </c>
      <c r="I4" s="3" t="s">
        <v>1</v>
      </c>
      <c r="J4" s="3" t="s">
        <v>1</v>
      </c>
      <c r="K4" s="3" t="s">
        <v>1</v>
      </c>
      <c r="L4" s="3" t="s">
        <v>1</v>
      </c>
      <c r="M4" s="3" t="s">
        <v>1</v>
      </c>
      <c r="N4" s="16"/>
      <c r="O4" s="16"/>
      <c r="P4" s="16"/>
      <c r="Q4" s="16"/>
      <c r="R4" s="16"/>
      <c r="S4" s="16"/>
      <c r="T4" s="16"/>
      <c r="U4" s="16"/>
      <c r="V4" s="16"/>
      <c r="W4" s="16"/>
      <c r="X4" s="16"/>
      <c r="Y4" s="16"/>
    </row>
    <row r="5" spans="1:25" x14ac:dyDescent="0.3">
      <c r="A5" s="3"/>
      <c r="B5" s="3" t="str">
        <f>Inputs!$E$19 &amp;"m"</f>
        <v>US$m</v>
      </c>
      <c r="C5" s="3" t="str">
        <f>Inputs!$E$19 &amp;"m"</f>
        <v>US$m</v>
      </c>
      <c r="D5" s="3" t="str">
        <f>Inputs!$E$19 &amp;"m"</f>
        <v>US$m</v>
      </c>
      <c r="E5" s="3" t="str">
        <f>Inputs!$E$19 &amp;"m"</f>
        <v>US$m</v>
      </c>
      <c r="F5" s="3" t="str">
        <f>Inputs!$E$19 &amp;"m"</f>
        <v>US$m</v>
      </c>
      <c r="G5" s="3" t="str">
        <f>Inputs!$E$19 &amp;"m"</f>
        <v>US$m</v>
      </c>
      <c r="H5" s="3" t="str">
        <f>Inputs!$E$19 &amp;"m"</f>
        <v>US$m</v>
      </c>
      <c r="I5" s="3" t="str">
        <f>Inputs!$E$19 &amp;"m"</f>
        <v>US$m</v>
      </c>
      <c r="J5" s="3" t="str">
        <f>Inputs!$E$19 &amp;"m"</f>
        <v>US$m</v>
      </c>
      <c r="K5" s="3" t="str">
        <f>Inputs!$E$19 &amp;"m"</f>
        <v>US$m</v>
      </c>
      <c r="L5" s="3" t="str">
        <f>Inputs!$E$19 &amp;"m"</f>
        <v>US$m</v>
      </c>
      <c r="M5" s="3" t="str">
        <f>Inputs!$E$19 &amp;"m"</f>
        <v>US$m</v>
      </c>
      <c r="N5" s="16"/>
      <c r="O5" s="16"/>
      <c r="P5" s="16"/>
      <c r="Q5" s="16"/>
      <c r="R5" s="16"/>
      <c r="S5" s="16"/>
      <c r="T5" s="16"/>
      <c r="U5" s="16"/>
      <c r="V5" s="16"/>
      <c r="W5" s="16"/>
      <c r="X5" s="16"/>
      <c r="Y5" s="16"/>
    </row>
    <row r="6" spans="1:25" x14ac:dyDescent="0.3">
      <c r="A6" s="3"/>
      <c r="B6" s="3" t="str">
        <f>(Inputs!$E$19 &amp; " / " &amp;Inputs!$E$18)</f>
        <v>US$ / CAD</v>
      </c>
      <c r="C6" s="3" t="str">
        <f>(Inputs!$E$19 &amp; " / " &amp;Inputs!$E$18)</f>
        <v>US$ / CAD</v>
      </c>
      <c r="D6" s="3" t="str">
        <f>(Inputs!$E$19 &amp; " / " &amp;Inputs!$E$18)</f>
        <v>US$ / CAD</v>
      </c>
      <c r="E6" s="3" t="str">
        <f>(Inputs!$E$19 &amp; " / " &amp;Inputs!$E$18)</f>
        <v>US$ / CAD</v>
      </c>
      <c r="F6" s="3" t="str">
        <f>(Inputs!$E$19 &amp; " / " &amp;Inputs!$E$18)</f>
        <v>US$ / CAD</v>
      </c>
      <c r="G6" s="3" t="str">
        <f>(Inputs!$E$19 &amp; " / " &amp;Inputs!$E$18)</f>
        <v>US$ / CAD</v>
      </c>
      <c r="H6" s="3" t="str">
        <f>(Inputs!$E$19 &amp; " / " &amp;Inputs!$E$18)</f>
        <v>US$ / CAD</v>
      </c>
      <c r="I6" s="3" t="str">
        <f>(Inputs!$E$19 &amp; " / " &amp;Inputs!$E$18)</f>
        <v>US$ / CAD</v>
      </c>
      <c r="J6" s="3" t="str">
        <f>(Inputs!$E$19 &amp; " / " &amp;Inputs!$E$18)</f>
        <v>US$ / CAD</v>
      </c>
      <c r="K6" s="3" t="str">
        <f>(Inputs!$E$19 &amp; " / " &amp;Inputs!$E$18)</f>
        <v>US$ / CAD</v>
      </c>
      <c r="L6" s="3" t="str">
        <f>(Inputs!$E$19 &amp; " / " &amp;Inputs!$E$18)</f>
        <v>US$ / CAD</v>
      </c>
      <c r="M6" s="3" t="str">
        <f>(Inputs!$E$19 &amp; " / " &amp;Inputs!$E$18)</f>
        <v>US$ / CAD</v>
      </c>
      <c r="N6" s="16"/>
      <c r="O6" s="16"/>
      <c r="P6" s="16"/>
      <c r="Q6" s="16"/>
      <c r="R6" s="16"/>
      <c r="S6" s="16"/>
      <c r="T6" s="16"/>
      <c r="U6" s="16"/>
      <c r="V6" s="16"/>
      <c r="W6" s="16"/>
      <c r="X6" s="16"/>
      <c r="Y6" s="16"/>
    </row>
    <row r="7" spans="1:25" x14ac:dyDescent="0.3">
      <c r="A7" s="3"/>
      <c r="B7" s="83">
        <f>Inputs!E25</f>
        <v>0.99502487562189068</v>
      </c>
      <c r="C7" s="83">
        <f>Inputs!F25</f>
        <v>1.021659174499387</v>
      </c>
      <c r="D7" s="83">
        <f>Inputs!G25</f>
        <v>0.99700897308075787</v>
      </c>
      <c r="E7" s="83">
        <f>Inputs!H25</f>
        <v>1.0632303063166513</v>
      </c>
      <c r="F7" s="83">
        <f>Inputs!I25</f>
        <v>1.1591515011011939</v>
      </c>
      <c r="G7" s="83">
        <f>Inputs!J25</f>
        <v>1.3847538600013849</v>
      </c>
      <c r="H7" s="83">
        <f>Inputs!K25</f>
        <v>1.3425</v>
      </c>
      <c r="I7" s="83">
        <f>Inputs!L25</f>
        <v>1.2570999999999999</v>
      </c>
      <c r="J7" s="83">
        <f>Inputs!M25</f>
        <v>1.3613</v>
      </c>
      <c r="K7" s="83">
        <f>Inputs!N25</f>
        <v>1.2989999999999999</v>
      </c>
      <c r="L7" s="83">
        <f>Inputs!O25</f>
        <v>1.3321000000000001</v>
      </c>
      <c r="M7" s="83">
        <f>Inputs!P25</f>
        <v>1.2396</v>
      </c>
      <c r="N7" s="16"/>
      <c r="O7" s="16"/>
      <c r="P7" s="16"/>
      <c r="Q7" s="16"/>
      <c r="R7" s="16"/>
      <c r="S7" s="16"/>
      <c r="T7" s="16"/>
      <c r="U7" s="16"/>
      <c r="V7" s="16"/>
      <c r="W7" s="16"/>
      <c r="X7" s="16"/>
      <c r="Y7" s="16"/>
    </row>
    <row r="8" spans="1:25" x14ac:dyDescent="0.3">
      <c r="A8" s="17" t="s">
        <v>75</v>
      </c>
      <c r="B8" s="58">
        <f>'Balance Sheet Reported'!B8/'Balance Sheet US$'!B$7</f>
        <v>4059.1949999999993</v>
      </c>
      <c r="C8" s="58">
        <f>'Balance Sheet Reported'!C8/'Balance Sheet US$'!C$7</f>
        <v>4020.9103999999998</v>
      </c>
      <c r="D8" s="58">
        <f>'Balance Sheet Reported'!D8/'Balance Sheet US$'!D$7</f>
        <v>3703.0759999999996</v>
      </c>
      <c r="E8" s="58">
        <f>'Balance Sheet Reported'!E8/'Balance Sheet US$'!E$7</f>
        <v>3816.67074</v>
      </c>
      <c r="F8" s="58">
        <f>'Balance Sheet Reported'!F8/'Balance Sheet US$'!F$7</f>
        <v>4140.0973000000004</v>
      </c>
      <c r="G8" s="58">
        <f>'Balance Sheet Reported'!G8/'Balance Sheet US$'!G$7</f>
        <v>3905.3871999999997</v>
      </c>
      <c r="H8" s="58">
        <f>'Balance Sheet Reported'!H8/'Balance Sheet US$'!H$7</f>
        <v>5062.1973929236501</v>
      </c>
      <c r="I8" s="58">
        <f>'Balance Sheet Reported'!I8/'Balance Sheet US$'!I$7</f>
        <v>6000.3181926656598</v>
      </c>
      <c r="J8" s="58">
        <f>'Balance Sheet Reported'!J8/'Balance Sheet US$'!J$7</f>
        <v>5956.805994270183</v>
      </c>
      <c r="K8" s="58">
        <f>'Balance Sheet Reported'!K8/'Balance Sheet US$'!K$7</f>
        <v>6392.6096997690538</v>
      </c>
      <c r="L8" s="58">
        <f>'Balance Sheet Reported'!L8/'Balance Sheet US$'!L$7</f>
        <v>5879.4384805945501</v>
      </c>
      <c r="M8" s="58">
        <f>'Balance Sheet Reported'!M8/'Balance Sheet US$'!M$7</f>
        <v>9466.7634720877704</v>
      </c>
    </row>
    <row r="9" spans="1:25" x14ac:dyDescent="0.3">
      <c r="A9" s="17" t="s">
        <v>76</v>
      </c>
      <c r="B9" s="58">
        <f>'Balance Sheet Reported'!B9/'Balance Sheet US$'!B$7</f>
        <v>1111.5299999999997</v>
      </c>
      <c r="C9" s="58">
        <f>'Balance Sheet Reported'!C9/'Balance Sheet US$'!C$7</f>
        <v>232.95439999999999</v>
      </c>
      <c r="D9" s="58">
        <f>'Balance Sheet Reported'!D9/'Balance Sheet US$'!D$7</f>
        <v>177.53099999999998</v>
      </c>
      <c r="E9" s="58">
        <f>'Balance Sheet Reported'!E9/'Balance Sheet US$'!E$7</f>
        <v>141.0795</v>
      </c>
      <c r="F9" s="58">
        <f>'Balance Sheet Reported'!F9/'Balance Sheet US$'!F$7</f>
        <v>125.0915</v>
      </c>
      <c r="G9" s="58">
        <f>'Balance Sheet Reported'!G9/'Balance Sheet US$'!G$7</f>
        <v>181.98179999999999</v>
      </c>
      <c r="H9" s="58">
        <f>'Balance Sheet Reported'!H9/'Balance Sheet US$'!H$7</f>
        <v>174.30167597765362</v>
      </c>
      <c r="I9" s="58">
        <f>'Balance Sheet Reported'!I9/'Balance Sheet US$'!I$7</f>
        <v>0</v>
      </c>
      <c r="J9" s="58">
        <f>'Balance Sheet Reported'!J9/'Balance Sheet US$'!J$7</f>
        <v>1865.8635128186293</v>
      </c>
      <c r="K9" s="58">
        <f>'Balance Sheet Reported'!K9/'Balance Sheet US$'!K$7</f>
        <v>2172.4403387220941</v>
      </c>
      <c r="L9" s="58">
        <f>'Balance Sheet Reported'!L9/'Balance Sheet US$'!L$7</f>
        <v>2135.7255461301702</v>
      </c>
      <c r="M9" s="58">
        <f>'Balance Sheet Reported'!M9/'Balance Sheet US$'!M$7</f>
        <v>0</v>
      </c>
    </row>
    <row r="10" spans="1:25" x14ac:dyDescent="0.3">
      <c r="A10" s="17" t="s">
        <v>77</v>
      </c>
      <c r="B10" s="58">
        <f>'Balance Sheet Reported'!B10/'Balance Sheet US$'!B$7</f>
        <v>0</v>
      </c>
      <c r="C10" s="58">
        <f>'Balance Sheet Reported'!C10/'Balance Sheet US$'!C$7</f>
        <v>93.964799999999997</v>
      </c>
      <c r="D10" s="58">
        <f>'Balance Sheet Reported'!D10/'Balance Sheet US$'!D$7</f>
        <v>324.97199999999998</v>
      </c>
      <c r="E10" s="58">
        <f>'Balance Sheet Reported'!E10/'Balance Sheet US$'!E$7</f>
        <v>334.82868000000002</v>
      </c>
      <c r="F10" s="58">
        <f>'Balance Sheet Reported'!F10/'Balance Sheet US$'!F$7</f>
        <v>420.13490000000002</v>
      </c>
      <c r="G10" s="58">
        <f>'Balance Sheet Reported'!G10/'Balance Sheet US$'!G$7</f>
        <v>556.05549999999994</v>
      </c>
      <c r="H10" s="58">
        <f>'Balance Sheet Reported'!H10/'Balance Sheet US$'!H$7</f>
        <v>668.15642458100558</v>
      </c>
      <c r="I10" s="58">
        <f>'Balance Sheet Reported'!I10/'Balance Sheet US$'!I$7</f>
        <v>845.59700898894289</v>
      </c>
      <c r="J10" s="58">
        <f>'Balance Sheet Reported'!J10/'Balance Sheet US$'!J$7</f>
        <v>685.37427459046501</v>
      </c>
      <c r="K10" s="58">
        <f>'Balance Sheet Reported'!K10/'Balance Sheet US$'!K$7</f>
        <v>801.38568129330258</v>
      </c>
      <c r="L10" s="58">
        <f>'Balance Sheet Reported'!L10/'Balance Sheet US$'!L$7</f>
        <v>566.02357180391857</v>
      </c>
      <c r="M10" s="58">
        <f>'Balance Sheet Reported'!M10/'Balance Sheet US$'!M$7</f>
        <v>0</v>
      </c>
    </row>
    <row r="11" spans="1:25" x14ac:dyDescent="0.3">
      <c r="A11" s="17" t="s">
        <v>78</v>
      </c>
      <c r="B11" s="58">
        <f>'Balance Sheet Reported'!B11/'Balance Sheet US$'!B$7</f>
        <v>476.36999999999995</v>
      </c>
      <c r="C11" s="58">
        <f>'Balance Sheet Reported'!C11/'Balance Sheet US$'!C$7</f>
        <v>495.27279999999996</v>
      </c>
      <c r="D11" s="58">
        <f>'Balance Sheet Reported'!D11/'Balance Sheet US$'!D$7</f>
        <v>546.63499999999988</v>
      </c>
      <c r="E11" s="58">
        <f>'Balance Sheet Reported'!E11/'Balance Sheet US$'!E$7</f>
        <v>331.06655999999998</v>
      </c>
      <c r="F11" s="58">
        <f>'Balance Sheet Reported'!F11/'Balance Sheet US$'!F$7</f>
        <v>344.21730000000002</v>
      </c>
      <c r="G11" s="58">
        <f>'Balance Sheet Reported'!G11/'Balance Sheet US$'!G$7</f>
        <v>296.08149999999995</v>
      </c>
      <c r="H11" s="58">
        <f>'Balance Sheet Reported'!H11/'Balance Sheet US$'!H$7</f>
        <v>304.65549348230911</v>
      </c>
      <c r="I11" s="58">
        <f>'Balance Sheet Reported'!I11/'Balance Sheet US$'!I$7</f>
        <v>348.42096889666698</v>
      </c>
      <c r="J11" s="58">
        <f>'Balance Sheet Reported'!J11/'Balance Sheet US$'!J$7</f>
        <v>296.77514140894732</v>
      </c>
      <c r="K11" s="58">
        <f>'Balance Sheet Reported'!K11/'Balance Sheet US$'!K$7</f>
        <v>324.86528098537337</v>
      </c>
      <c r="L11" s="58">
        <f>'Balance Sheet Reported'!L11/'Balance Sheet US$'!L$7</f>
        <v>360.33330831018691</v>
      </c>
      <c r="M11" s="58">
        <f>'Balance Sheet Reported'!M11/'Balance Sheet US$'!M$7</f>
        <v>0</v>
      </c>
    </row>
    <row r="12" spans="1:25" x14ac:dyDescent="0.3">
      <c r="A12" s="17" t="s">
        <v>79</v>
      </c>
      <c r="B12" s="60">
        <f>'Balance Sheet Reported'!B12/'Balance Sheet US$'!B$7</f>
        <v>128.63999999999999</v>
      </c>
      <c r="C12" s="60">
        <f>'Balance Sheet Reported'!C12/'Balance Sheet US$'!C$7</f>
        <v>137.03199999999998</v>
      </c>
      <c r="D12" s="60">
        <f>'Balance Sheet Reported'!D12/'Balance Sheet US$'!D$7</f>
        <v>133.39899999999997</v>
      </c>
      <c r="E12" s="60">
        <f>'Balance Sheet Reported'!E12/'Balance Sheet US$'!E$7</f>
        <v>147.66320999999999</v>
      </c>
      <c r="F12" s="60">
        <f>'Balance Sheet Reported'!F12/'Balance Sheet US$'!F$7</f>
        <v>144.93360000000001</v>
      </c>
      <c r="G12" s="60">
        <f>'Balance Sheet Reported'!G12/'Balance Sheet US$'!G$7</f>
        <v>137.20849999999999</v>
      </c>
      <c r="H12" s="60">
        <f>'Balance Sheet Reported'!H12/'Balance Sheet US$'!H$7</f>
        <v>137.05772811918064</v>
      </c>
      <c r="I12" s="60">
        <f>'Balance Sheet Reported'!I12/'Balance Sheet US$'!I$7</f>
        <v>165.46018614270943</v>
      </c>
      <c r="J12" s="60">
        <f>'Balance Sheet Reported'!J12/'Balance Sheet US$'!J$7</f>
        <v>144.71461103357086</v>
      </c>
      <c r="K12" s="60">
        <f>'Balance Sheet Reported'!K12/'Balance Sheet US$'!K$7</f>
        <v>188.60662047729022</v>
      </c>
      <c r="L12" s="60">
        <f>'Balance Sheet Reported'!L12/'Balance Sheet US$'!L$7</f>
        <v>169.65693266271299</v>
      </c>
      <c r="M12" s="60">
        <f>'Balance Sheet Reported'!M12/'Balance Sheet US$'!M$7</f>
        <v>0</v>
      </c>
    </row>
    <row r="13" spans="1:25" x14ac:dyDescent="0.3">
      <c r="A13" s="14" t="s">
        <v>80</v>
      </c>
      <c r="B13" s="22">
        <f t="shared" ref="B13:H13" si="0">SUM(B8:B12)</f>
        <v>5775.7349999999988</v>
      </c>
      <c r="C13" s="22">
        <f t="shared" si="0"/>
        <v>4980.134399999999</v>
      </c>
      <c r="D13" s="22">
        <f t="shared" si="0"/>
        <v>4885.6130000000003</v>
      </c>
      <c r="E13" s="22">
        <f t="shared" si="0"/>
        <v>4771.3086899999998</v>
      </c>
      <c r="F13" s="22">
        <f t="shared" si="0"/>
        <v>5174.4746000000005</v>
      </c>
      <c r="G13" s="22">
        <f t="shared" si="0"/>
        <v>5076.7144999999991</v>
      </c>
      <c r="H13" s="22">
        <f t="shared" si="0"/>
        <v>6346.3687150837995</v>
      </c>
      <c r="I13" s="22">
        <f t="shared" ref="I13:J13" si="1">SUM(I8:I12)</f>
        <v>7359.7963566939789</v>
      </c>
      <c r="J13" s="22">
        <f t="shared" si="1"/>
        <v>8949.533534121796</v>
      </c>
      <c r="K13" s="22">
        <f t="shared" ref="K13:L13" si="2">SUM(K8:K12)</f>
        <v>9879.9076212471155</v>
      </c>
      <c r="L13" s="22">
        <f t="shared" si="2"/>
        <v>9111.1778395015372</v>
      </c>
      <c r="M13" s="22">
        <f>'Balance Sheet Reported'!M13/'Balance Sheet US$'!M$7</f>
        <v>9466.7634720877704</v>
      </c>
    </row>
    <row r="14" spans="1:25" x14ac:dyDescent="0.3">
      <c r="A14" s="17" t="s">
        <v>81</v>
      </c>
      <c r="B14" s="58">
        <f>'Balance Sheet Reported'!B14/'Balance Sheet US$'!B$7</f>
        <v>514.55999999999995</v>
      </c>
      <c r="C14" s="58">
        <f>'Balance Sheet Reported'!C14/'Balance Sheet US$'!C$7</f>
        <v>582.38599999999997</v>
      </c>
      <c r="D14" s="58">
        <f>'Balance Sheet Reported'!D14/'Balance Sheet US$'!D$7</f>
        <v>511.52999999999992</v>
      </c>
      <c r="E14" s="58">
        <f>'Balance Sheet Reported'!E14/'Balance Sheet US$'!E$7</f>
        <v>464.62182000000001</v>
      </c>
      <c r="F14" s="58">
        <f>'Balance Sheet Reported'!F14/'Balance Sheet US$'!F$7</f>
        <v>479.66120000000001</v>
      </c>
      <c r="G14" s="58">
        <f>'Balance Sheet Reported'!G14/'Balance Sheet US$'!G$7</f>
        <v>358.18639999999994</v>
      </c>
      <c r="H14" s="58">
        <f>'Balance Sheet Reported'!H14/'Balance Sheet US$'!H$7</f>
        <v>348.60335195530723</v>
      </c>
      <c r="I14" s="58">
        <f>'Balance Sheet Reported'!I14/'Balance Sheet US$'!I$7</f>
        <v>369.89897382865331</v>
      </c>
      <c r="J14" s="58">
        <f>'Balance Sheet Reported'!J14/'Balance Sheet US$'!J$7</f>
        <v>294.57136560640566</v>
      </c>
      <c r="K14" s="58">
        <f>'Balance Sheet Reported'!K14/'Balance Sheet US$'!K$7</f>
        <v>720.55427251732101</v>
      </c>
      <c r="L14" s="58">
        <f>'Balance Sheet Reported'!L14/'Balance Sheet US$'!L$7</f>
        <v>625.3284287966369</v>
      </c>
      <c r="M14" s="58">
        <f>'Balance Sheet Reported'!M14/'Balance Sheet US$'!M$7</f>
        <v>883.34946757018395</v>
      </c>
    </row>
    <row r="15" spans="1:25" x14ac:dyDescent="0.3">
      <c r="A15" s="17" t="s">
        <v>82</v>
      </c>
      <c r="B15" s="58">
        <f>'Balance Sheet Reported'!B15/'Balance Sheet US$'!B$7</f>
        <v>0</v>
      </c>
      <c r="C15" s="58">
        <f>'Balance Sheet Reported'!C15/'Balance Sheet US$'!C$7</f>
        <v>0</v>
      </c>
      <c r="D15" s="58">
        <f>'Balance Sheet Reported'!D15/'Balance Sheet US$'!D$7</f>
        <v>0</v>
      </c>
      <c r="E15" s="58">
        <f>'Balance Sheet Reported'!E15/'Balance Sheet US$'!E$7</f>
        <v>0</v>
      </c>
      <c r="F15" s="58">
        <f>'Balance Sheet Reported'!F15/'Balance Sheet US$'!F$7</f>
        <v>0</v>
      </c>
      <c r="G15" s="58">
        <f>'Balance Sheet Reported'!G15/'Balance Sheet US$'!G$7</f>
        <v>0</v>
      </c>
      <c r="H15" s="58">
        <f>'Balance Sheet Reported'!H15/'Balance Sheet US$'!H$7</f>
        <v>0</v>
      </c>
      <c r="I15" s="58">
        <f>'Balance Sheet Reported'!I15/'Balance Sheet US$'!I$7</f>
        <v>0</v>
      </c>
      <c r="J15" s="58">
        <f>'Balance Sheet Reported'!J15/'Balance Sheet US$'!J$7</f>
        <v>0</v>
      </c>
      <c r="K15" s="58">
        <f>'Balance Sheet Reported'!K15/'Balance Sheet US$'!K$7</f>
        <v>0</v>
      </c>
      <c r="L15" s="58">
        <f>'Balance Sheet Reported'!L15/'Balance Sheet US$'!L$7</f>
        <v>0</v>
      </c>
      <c r="M15" s="58">
        <f>'Balance Sheet Reported'!M15/'Balance Sheet US$'!M$7</f>
        <v>0</v>
      </c>
    </row>
    <row r="16" spans="1:25" x14ac:dyDescent="0.3">
      <c r="A16" s="17" t="s">
        <v>83</v>
      </c>
      <c r="B16" s="58">
        <f>'Balance Sheet Reported'!B16/'Balance Sheet US$'!B$7</f>
        <v>844.19999999999993</v>
      </c>
      <c r="C16" s="58">
        <f>'Balance Sheet Reported'!C16/'Balance Sheet US$'!C$7</f>
        <v>609.79239999999993</v>
      </c>
      <c r="D16" s="58">
        <f>'Balance Sheet Reported'!D16/'Balance Sheet US$'!D$7</f>
        <v>626.87499999999989</v>
      </c>
      <c r="E16" s="58">
        <f>'Balance Sheet Reported'!E16/'Balance Sheet US$'!E$7</f>
        <v>578.42594999999994</v>
      </c>
      <c r="F16" s="58">
        <f>'Balance Sheet Reported'!F16/'Balance Sheet US$'!F$7</f>
        <v>531.42319999999995</v>
      </c>
      <c r="G16" s="58">
        <f>'Balance Sheet Reported'!G16/'Balance Sheet US$'!G$7</f>
        <v>451.34374999999994</v>
      </c>
      <c r="H16" s="58">
        <f>'Balance Sheet Reported'!H16/'Balance Sheet US$'!H$7</f>
        <v>466.29422718808195</v>
      </c>
      <c r="I16" s="58">
        <f>'Balance Sheet Reported'!I16/'Balance Sheet US$'!I$7</f>
        <v>500.35796674886649</v>
      </c>
      <c r="J16" s="58">
        <f>'Balance Sheet Reported'!J16/'Balance Sheet US$'!J$7</f>
        <v>525.23323293910232</v>
      </c>
      <c r="K16" s="58">
        <f>'Balance Sheet Reported'!K16/'Balance Sheet US$'!K$7</f>
        <v>3290.9930715935338</v>
      </c>
      <c r="L16" s="58">
        <f>'Balance Sheet Reported'!L16/'Balance Sheet US$'!L$7</f>
        <v>3308.3101869229035</v>
      </c>
      <c r="M16" s="58">
        <f>'Balance Sheet Reported'!M16/'Balance Sheet US$'!M$7</f>
        <v>3523.7173281703776</v>
      </c>
    </row>
    <row r="17" spans="1:13" x14ac:dyDescent="0.3">
      <c r="A17" s="17" t="s">
        <v>84</v>
      </c>
      <c r="B17" s="58">
        <f>'Balance Sheet Reported'!B17/'Balance Sheet US$'!B$7</f>
        <v>0</v>
      </c>
      <c r="C17" s="58">
        <f>'Balance Sheet Reported'!C17/'Balance Sheet US$'!C$7</f>
        <v>0</v>
      </c>
      <c r="D17" s="58">
        <f>'Balance Sheet Reported'!D17/'Balance Sheet US$'!D$7</f>
        <v>0</v>
      </c>
      <c r="E17" s="58">
        <f>'Balance Sheet Reported'!E17/'Balance Sheet US$'!E$7</f>
        <v>0</v>
      </c>
      <c r="F17" s="58">
        <f>'Balance Sheet Reported'!F17/'Balance Sheet US$'!F$7</f>
        <v>0</v>
      </c>
      <c r="G17" s="58">
        <f>'Balance Sheet Reported'!G17/'Balance Sheet US$'!G$7</f>
        <v>0</v>
      </c>
      <c r="H17" s="58">
        <f>'Balance Sheet Reported'!H17/'Balance Sheet US$'!H$7</f>
        <v>0</v>
      </c>
      <c r="I17" s="58">
        <f>'Balance Sheet Reported'!I17/'Balance Sheet US$'!I$7</f>
        <v>0</v>
      </c>
      <c r="J17" s="58">
        <f>'Balance Sheet Reported'!J17/'Balance Sheet US$'!J$7</f>
        <v>0</v>
      </c>
      <c r="K17" s="58">
        <f>'Balance Sheet Reported'!K17/'Balance Sheet US$'!K$7</f>
        <v>0</v>
      </c>
      <c r="L17" s="58">
        <f>'Balance Sheet Reported'!L17/'Balance Sheet US$'!L$7</f>
        <v>0</v>
      </c>
      <c r="M17" s="58">
        <f>'Balance Sheet Reported'!M17/'Balance Sheet US$'!M$7</f>
        <v>0</v>
      </c>
    </row>
    <row r="18" spans="1:13" x14ac:dyDescent="0.3">
      <c r="A18" s="17" t="s">
        <v>85</v>
      </c>
      <c r="B18" s="58">
        <f>'Balance Sheet Reported'!B18/'Balance Sheet US$'!B$7</f>
        <v>0</v>
      </c>
      <c r="C18" s="58">
        <f>'Balance Sheet Reported'!C18/'Balance Sheet US$'!C$7</f>
        <v>0</v>
      </c>
      <c r="D18" s="58">
        <f>'Balance Sheet Reported'!D18/'Balance Sheet US$'!D$7</f>
        <v>0</v>
      </c>
      <c r="E18" s="58">
        <f>'Balance Sheet Reported'!E18/'Balance Sheet US$'!E$7</f>
        <v>0</v>
      </c>
      <c r="F18" s="58">
        <f>'Balance Sheet Reported'!F18/'Balance Sheet US$'!F$7</f>
        <v>0</v>
      </c>
      <c r="G18" s="58">
        <f>'Balance Sheet Reported'!G18/'Balance Sheet US$'!G$7</f>
        <v>0</v>
      </c>
      <c r="H18" s="58">
        <f>'Balance Sheet Reported'!H18/'Balance Sheet US$'!H$7</f>
        <v>0</v>
      </c>
      <c r="I18" s="58">
        <f>'Balance Sheet Reported'!I18/'Balance Sheet US$'!I$7</f>
        <v>0</v>
      </c>
      <c r="J18" s="58">
        <f>'Balance Sheet Reported'!J18/'Balance Sheet US$'!J$7</f>
        <v>0</v>
      </c>
      <c r="K18" s="58">
        <f>'Balance Sheet Reported'!K18/'Balance Sheet US$'!K$7</f>
        <v>0</v>
      </c>
      <c r="L18" s="58">
        <f>'Balance Sheet Reported'!L18/'Balance Sheet US$'!L$7</f>
        <v>0</v>
      </c>
      <c r="M18" s="58">
        <f>'Balance Sheet Reported'!M18/'Balance Sheet US$'!M$7</f>
        <v>0</v>
      </c>
    </row>
    <row r="19" spans="1:13" x14ac:dyDescent="0.3">
      <c r="A19" s="17" t="s">
        <v>86</v>
      </c>
      <c r="B19" s="58">
        <f>'Balance Sheet Reported'!B19/'Balance Sheet US$'!B$7</f>
        <v>0</v>
      </c>
      <c r="C19" s="58">
        <f>'Balance Sheet Reported'!C19/'Balance Sheet US$'!C$7</f>
        <v>0</v>
      </c>
      <c r="D19" s="58">
        <f>'Balance Sheet Reported'!D19/'Balance Sheet US$'!D$7</f>
        <v>0</v>
      </c>
      <c r="E19" s="58">
        <f>'Balance Sheet Reported'!E19/'Balance Sheet US$'!E$7</f>
        <v>0</v>
      </c>
      <c r="F19" s="58">
        <f>'Balance Sheet Reported'!F19/'Balance Sheet US$'!F$7</f>
        <v>0</v>
      </c>
      <c r="G19" s="58">
        <f>'Balance Sheet Reported'!G19/'Balance Sheet US$'!G$7</f>
        <v>0</v>
      </c>
      <c r="H19" s="58">
        <f>'Balance Sheet Reported'!H19/'Balance Sheet US$'!H$7</f>
        <v>0</v>
      </c>
      <c r="I19" s="58">
        <f>'Balance Sheet Reported'!I19/'Balance Sheet US$'!I$7</f>
        <v>375.46734547768676</v>
      </c>
      <c r="J19" s="58">
        <f>'Balance Sheet Reported'!J19/'Balance Sheet US$'!J$7</f>
        <v>230.66186733269669</v>
      </c>
      <c r="K19" s="58">
        <f>'Balance Sheet Reported'!K19/'Balance Sheet US$'!K$7</f>
        <v>103.15627405696691</v>
      </c>
      <c r="L19" s="58">
        <f>'Balance Sheet Reported'!L19/'Balance Sheet US$'!L$7</f>
        <v>18.767359807822235</v>
      </c>
      <c r="M19" s="58">
        <f>'Balance Sheet Reported'!M19/'Balance Sheet US$'!M$7</f>
        <v>29.848338173604386</v>
      </c>
    </row>
    <row r="20" spans="1:13" x14ac:dyDescent="0.3">
      <c r="A20" s="17" t="s">
        <v>87</v>
      </c>
      <c r="B20" s="58">
        <f>'Balance Sheet Reported'!B20/'Balance Sheet US$'!B$7</f>
        <v>0</v>
      </c>
      <c r="C20" s="58">
        <f>'Balance Sheet Reported'!C20/'Balance Sheet US$'!C$7</f>
        <v>0</v>
      </c>
      <c r="D20" s="58">
        <f>'Balance Sheet Reported'!D20/'Balance Sheet US$'!D$7</f>
        <v>0</v>
      </c>
      <c r="E20" s="58">
        <f>'Balance Sheet Reported'!E20/'Balance Sheet US$'!E$7</f>
        <v>0</v>
      </c>
      <c r="F20" s="58">
        <f>'Balance Sheet Reported'!F20/'Balance Sheet US$'!F$7</f>
        <v>0</v>
      </c>
      <c r="G20" s="58">
        <f>'Balance Sheet Reported'!G20/'Balance Sheet US$'!G$7</f>
        <v>0</v>
      </c>
      <c r="H20" s="58">
        <f>'Balance Sheet Reported'!H20/'Balance Sheet US$'!H$7</f>
        <v>0</v>
      </c>
      <c r="I20" s="58">
        <f>'Balance Sheet Reported'!I20/'Balance Sheet US$'!I$7</f>
        <v>0</v>
      </c>
      <c r="J20" s="58">
        <f>'Balance Sheet Reported'!J20/'Balance Sheet US$'!J$7</f>
        <v>0</v>
      </c>
      <c r="K20" s="58">
        <f>'Balance Sheet Reported'!K20/'Balance Sheet US$'!K$7</f>
        <v>0</v>
      </c>
      <c r="L20" s="58">
        <f>'Balance Sheet Reported'!L20/'Balance Sheet US$'!L$7</f>
        <v>0</v>
      </c>
      <c r="M20" s="58">
        <f>'Balance Sheet Reported'!M20/'Balance Sheet US$'!M$7</f>
        <v>0</v>
      </c>
    </row>
    <row r="21" spans="1:13" x14ac:dyDescent="0.3">
      <c r="A21" s="17" t="s">
        <v>88</v>
      </c>
      <c r="B21" s="58">
        <f>'Balance Sheet Reported'!B21/'Balance Sheet US$'!B$7</f>
        <v>0</v>
      </c>
      <c r="C21" s="58">
        <f>'Balance Sheet Reported'!C21/'Balance Sheet US$'!C$7</f>
        <v>0</v>
      </c>
      <c r="D21" s="58">
        <f>'Balance Sheet Reported'!D21/'Balance Sheet US$'!D$7</f>
        <v>0</v>
      </c>
      <c r="E21" s="58">
        <f>'Balance Sheet Reported'!E21/'Balance Sheet US$'!E$7</f>
        <v>0</v>
      </c>
      <c r="F21" s="58">
        <f>'Balance Sheet Reported'!F21/'Balance Sheet US$'!F$7</f>
        <v>0</v>
      </c>
      <c r="G21" s="58">
        <f>'Balance Sheet Reported'!G21/'Balance Sheet US$'!G$7</f>
        <v>614.54964999999993</v>
      </c>
      <c r="H21" s="58">
        <f>'Balance Sheet Reported'!H21/'Balance Sheet US$'!H$7</f>
        <v>858.84543761638736</v>
      </c>
      <c r="I21" s="58">
        <f>'Balance Sheet Reported'!I21/'Balance Sheet US$'!I$7</f>
        <v>1259.2474743457165</v>
      </c>
      <c r="J21" s="58">
        <f>'Balance Sheet Reported'!J21/'Balance Sheet US$'!J$7</f>
        <v>1446.4115184015279</v>
      </c>
      <c r="K21" s="58">
        <f>'Balance Sheet Reported'!K21/'Balance Sheet US$'!K$7</f>
        <v>1588.9145496535798</v>
      </c>
      <c r="L21" s="58">
        <f>'Balance Sheet Reported'!L21/'Balance Sheet US$'!L$7</f>
        <v>2131.972074168606</v>
      </c>
      <c r="M21" s="58">
        <f>'Balance Sheet Reported'!M21/'Balance Sheet US$'!M$7</f>
        <v>2586.3181671506936</v>
      </c>
    </row>
    <row r="22" spans="1:13" x14ac:dyDescent="0.3">
      <c r="A22" s="17" t="s">
        <v>89</v>
      </c>
      <c r="B22" s="60">
        <f>'Balance Sheet Reported'!B22/'Balance Sheet US$'!B$7</f>
        <v>0</v>
      </c>
      <c r="C22" s="60">
        <f>'Balance Sheet Reported'!C22/'Balance Sheet US$'!C$7</f>
        <v>0</v>
      </c>
      <c r="D22" s="60">
        <f>'Balance Sheet Reported'!D22/'Balance Sheet US$'!D$7</f>
        <v>0</v>
      </c>
      <c r="E22" s="60">
        <f>'Balance Sheet Reported'!E22/'Balance Sheet US$'!E$7</f>
        <v>0</v>
      </c>
      <c r="F22" s="60">
        <f>'Balance Sheet Reported'!F22/'Balance Sheet US$'!F$7</f>
        <v>0</v>
      </c>
      <c r="G22" s="60">
        <f>'Balance Sheet Reported'!G22/'Balance Sheet US$'!G$7</f>
        <v>0</v>
      </c>
      <c r="H22" s="60">
        <f>'Balance Sheet Reported'!H22/'Balance Sheet US$'!H$7</f>
        <v>0</v>
      </c>
      <c r="I22" s="60">
        <f>'Balance Sheet Reported'!I22/'Balance Sheet US$'!I$7</f>
        <v>0</v>
      </c>
      <c r="J22" s="60">
        <f>'Balance Sheet Reported'!J22/'Balance Sheet US$'!J$7</f>
        <v>0</v>
      </c>
      <c r="K22" s="60">
        <f>'Balance Sheet Reported'!K22/'Balance Sheet US$'!K$7</f>
        <v>0</v>
      </c>
      <c r="L22" s="60">
        <f>'Balance Sheet Reported'!L22/'Balance Sheet US$'!L$7</f>
        <v>0</v>
      </c>
      <c r="M22" s="60">
        <f>'Balance Sheet Reported'!M22/'Balance Sheet US$'!M$7</f>
        <v>0</v>
      </c>
    </row>
    <row r="23" spans="1:13" x14ac:dyDescent="0.3">
      <c r="A23" s="14" t="s">
        <v>90</v>
      </c>
      <c r="B23" s="22">
        <f t="shared" ref="B23:M23" si="3">SUM(B14:B22)</f>
        <v>1358.7599999999998</v>
      </c>
      <c r="C23" s="22">
        <f t="shared" si="3"/>
        <v>1192.1783999999998</v>
      </c>
      <c r="D23" s="22">
        <f t="shared" si="3"/>
        <v>1138.4049999999997</v>
      </c>
      <c r="E23" s="22">
        <f t="shared" si="3"/>
        <v>1043.0477699999999</v>
      </c>
      <c r="F23" s="22">
        <f t="shared" si="3"/>
        <v>1011.0844</v>
      </c>
      <c r="G23" s="22">
        <f t="shared" si="3"/>
        <v>1424.0797999999998</v>
      </c>
      <c r="H23" s="22">
        <f t="shared" si="3"/>
        <v>1673.7430167597765</v>
      </c>
      <c r="I23" s="22">
        <f t="shared" ref="I23:J23" si="4">SUM(I14:I22)</f>
        <v>2504.9717604009229</v>
      </c>
      <c r="J23" s="22">
        <f t="shared" si="4"/>
        <v>2496.8779842797326</v>
      </c>
      <c r="K23" s="22">
        <f t="shared" ref="K23:L23" si="5">SUM(K14:K22)</f>
        <v>5703.6181678214016</v>
      </c>
      <c r="L23" s="22">
        <f t="shared" si="5"/>
        <v>6084.378049695968</v>
      </c>
      <c r="M23" s="22">
        <f t="shared" si="3"/>
        <v>7023.233301064859</v>
      </c>
    </row>
    <row r="24" spans="1:13" x14ac:dyDescent="0.3">
      <c r="A24" s="14" t="s">
        <v>253</v>
      </c>
      <c r="B24" s="23">
        <f t="shared" ref="B24:M24" si="6">B13+B23</f>
        <v>7134.494999999999</v>
      </c>
      <c r="C24" s="23">
        <f t="shared" si="6"/>
        <v>6172.3127999999988</v>
      </c>
      <c r="D24" s="23">
        <f t="shared" si="6"/>
        <v>6024.018</v>
      </c>
      <c r="E24" s="23">
        <f t="shared" si="6"/>
        <v>5814.35646</v>
      </c>
      <c r="F24" s="23">
        <f t="shared" si="6"/>
        <v>6185.5590000000002</v>
      </c>
      <c r="G24" s="23">
        <f t="shared" si="6"/>
        <v>6500.7942999999987</v>
      </c>
      <c r="H24" s="23">
        <f t="shared" si="6"/>
        <v>8020.1117318435763</v>
      </c>
      <c r="I24" s="23">
        <f t="shared" ref="I24:J24" si="7">I13+I23</f>
        <v>9864.7681170949018</v>
      </c>
      <c r="J24" s="23">
        <f t="shared" si="7"/>
        <v>11446.411518401528</v>
      </c>
      <c r="K24" s="23">
        <f t="shared" ref="K24:L24" si="8">K13+K23</f>
        <v>15583.525789068517</v>
      </c>
      <c r="L24" s="23">
        <f t="shared" si="8"/>
        <v>15195.555889197505</v>
      </c>
      <c r="M24" s="23">
        <f t="shared" si="6"/>
        <v>16489.99677315263</v>
      </c>
    </row>
    <row r="25" spans="1:13" x14ac:dyDescent="0.3">
      <c r="A25" s="17" t="s">
        <v>66</v>
      </c>
      <c r="B25" s="58">
        <f>'Balance Sheet Reported'!B25/'Balance Sheet US$'!B$7</f>
        <v>1095.4499999999998</v>
      </c>
      <c r="C25" s="58">
        <f>'Balance Sheet Reported'!C25/'Balance Sheet US$'!C$7</f>
        <v>830.02239999999995</v>
      </c>
      <c r="D25" s="58">
        <f>'Balance Sheet Reported'!D25/'Balance Sheet US$'!D$7</f>
        <v>760.27399999999989</v>
      </c>
      <c r="E25" s="58">
        <f>'Balance Sheet Reported'!E25/'Balance Sheet US$'!E$7</f>
        <v>705.39750000000004</v>
      </c>
      <c r="F25" s="58">
        <f>'Balance Sheet Reported'!F25/'Balance Sheet US$'!F$7</f>
        <v>570.24469999999997</v>
      </c>
      <c r="G25" s="58">
        <f>'Balance Sheet Reported'!G25/'Balance Sheet US$'!G$7</f>
        <v>413.06979999999993</v>
      </c>
      <c r="H25" s="58">
        <f>'Balance Sheet Reported'!H25/'Balance Sheet US$'!H$7</f>
        <v>586.21973929236503</v>
      </c>
      <c r="I25" s="58">
        <f>'Balance Sheet Reported'!I25/'Balance Sheet US$'!I$7</f>
        <v>510.6992283827858</v>
      </c>
      <c r="J25" s="58">
        <f>'Balance Sheet Reported'!J25/'Balance Sheet US$'!J$7</f>
        <v>462.79291853375452</v>
      </c>
      <c r="K25" s="58">
        <f>'Balance Sheet Reported'!K25/'Balance Sheet US$'!K$7</f>
        <v>1608.9299461123942</v>
      </c>
      <c r="L25" s="58">
        <f>'Balance Sheet Reported'!L25/'Balance Sheet US$'!L$7</f>
        <v>2746.0400870805493</v>
      </c>
      <c r="M25" s="58">
        <f>'Balance Sheet Reported'!M25/'Balance Sheet US$'!M$7</f>
        <v>4211.0358180058083</v>
      </c>
    </row>
    <row r="26" spans="1:13" x14ac:dyDescent="0.3">
      <c r="A26" s="17" t="s">
        <v>67</v>
      </c>
      <c r="B26" s="58">
        <f>'Balance Sheet Reported'!B26/'Balance Sheet US$'!B$7</f>
        <v>1107.5099999999998</v>
      </c>
      <c r="C26" s="58">
        <f>'Balance Sheet Reported'!C26/'Balance Sheet US$'!C$7</f>
        <v>1224.4787999999999</v>
      </c>
      <c r="D26" s="58">
        <f>'Balance Sheet Reported'!D26/'Balance Sheet US$'!D$7</f>
        <v>1271.8039999999999</v>
      </c>
      <c r="E26" s="58">
        <f>'Balance Sheet Reported'!E26/'Balance Sheet US$'!E$7</f>
        <v>1371.2927399999999</v>
      </c>
      <c r="F26" s="58">
        <f>'Balance Sheet Reported'!F26/'Balance Sheet US$'!F$7</f>
        <v>1392.3978</v>
      </c>
      <c r="G26" s="58">
        <f>'Balance Sheet Reported'!G26/'Balance Sheet US$'!G$7</f>
        <v>1516.5149999999999</v>
      </c>
      <c r="H26" s="58">
        <f>'Balance Sheet Reported'!H26/'Balance Sheet US$'!H$7</f>
        <v>1632.7746741154563</v>
      </c>
      <c r="I26" s="58">
        <f>'Balance Sheet Reported'!I26/'Balance Sheet US$'!I$7</f>
        <v>2515.3130220348421</v>
      </c>
      <c r="J26" s="58">
        <f>'Balance Sheet Reported'!J26/'Balance Sheet US$'!J$7</f>
        <v>2994.9313156541543</v>
      </c>
      <c r="K26" s="58">
        <f>'Balance Sheet Reported'!K26/'Balance Sheet US$'!K$7</f>
        <v>2924.5573518090841</v>
      </c>
      <c r="L26" s="58">
        <f>'Balance Sheet Reported'!L26/'Balance Sheet US$'!L$7</f>
        <v>2884.9185496584341</v>
      </c>
      <c r="M26" s="58">
        <f>'Balance Sheet Reported'!M26/'Balance Sheet US$'!M$7</f>
        <v>2808.9706356889319</v>
      </c>
    </row>
    <row r="27" spans="1:13" x14ac:dyDescent="0.3">
      <c r="A27" s="17" t="s">
        <v>68</v>
      </c>
      <c r="B27" s="58">
        <f>'Balance Sheet Reported'!B27/'Balance Sheet US$'!B$7</f>
        <v>80.399999999999991</v>
      </c>
      <c r="C27" s="58">
        <f>'Balance Sheet Reported'!C27/'Balance Sheet US$'!C$7</f>
        <v>74.388800000000003</v>
      </c>
      <c r="D27" s="58">
        <f>'Balance Sheet Reported'!D27/'Balance Sheet US$'!D$7</f>
        <v>96.287999999999982</v>
      </c>
      <c r="E27" s="58">
        <f>'Balance Sheet Reported'!E27/'Balance Sheet US$'!E$7</f>
        <v>86.528759999999991</v>
      </c>
      <c r="F27" s="58">
        <f>'Balance Sheet Reported'!F27/'Balance Sheet US$'!F$7</f>
        <v>76.780299999999997</v>
      </c>
      <c r="G27" s="58">
        <f>'Balance Sheet Reported'!G27/'Balance Sheet US$'!G$7</f>
        <v>65.715649999999997</v>
      </c>
      <c r="H27" s="58">
        <f>'Balance Sheet Reported'!H27/'Balance Sheet US$'!H$7</f>
        <v>93.85474860335195</v>
      </c>
      <c r="I27" s="58">
        <f>'Balance Sheet Reported'!I27/'Balance Sheet US$'!I$7</f>
        <v>117.73128629385094</v>
      </c>
      <c r="J27" s="58">
        <f>'Balance Sheet Reported'!J27/'Balance Sheet US$'!J$7</f>
        <v>118.2693014030706</v>
      </c>
      <c r="K27" s="58">
        <f>'Balance Sheet Reported'!K27/'Balance Sheet US$'!K$7</f>
        <v>120.86220169361047</v>
      </c>
      <c r="L27" s="58">
        <f>'Balance Sheet Reported'!L27/'Balance Sheet US$'!L$7</f>
        <v>79.573605585166277</v>
      </c>
      <c r="M27" s="58">
        <f>'Balance Sheet Reported'!M27/'Balance Sheet US$'!M$7</f>
        <v>74.217489512746042</v>
      </c>
    </row>
    <row r="28" spans="1:13" x14ac:dyDescent="0.3">
      <c r="A28" s="17" t="s">
        <v>69</v>
      </c>
      <c r="B28" s="58">
        <f>'Balance Sheet Reported'!B28/'Balance Sheet US$'!B$7</f>
        <v>155.77499999999998</v>
      </c>
      <c r="C28" s="58">
        <f>'Balance Sheet Reported'!C28/'Balance Sheet US$'!C$7</f>
        <v>181.078</v>
      </c>
      <c r="D28" s="58">
        <f>'Balance Sheet Reported'!D28/'Balance Sheet US$'!D$7</f>
        <v>150.44999999999999</v>
      </c>
      <c r="E28" s="58">
        <f>'Balance Sheet Reported'!E28/'Balance Sheet US$'!E$7</f>
        <v>127.91208</v>
      </c>
      <c r="F28" s="58">
        <f>'Balance Sheet Reported'!F28/'Balance Sheet US$'!F$7</f>
        <v>140.62010000000001</v>
      </c>
      <c r="G28" s="58">
        <f>'Balance Sheet Reported'!G28/'Balance Sheet US$'!G$7</f>
        <v>131.43129999999999</v>
      </c>
      <c r="H28" s="58">
        <f>'Balance Sheet Reported'!H28/'Balance Sheet US$'!H$7</f>
        <v>138.54748603351956</v>
      </c>
      <c r="I28" s="58">
        <f>'Balance Sheet Reported'!I28/'Balance Sheet US$'!I$7</f>
        <v>163.86922281441414</v>
      </c>
      <c r="J28" s="58">
        <f>'Balance Sheet Reported'!J28/'Balance Sheet US$'!J$7</f>
        <v>161.6102255197238</v>
      </c>
      <c r="K28" s="58">
        <f>'Balance Sheet Reported'!K28/'Balance Sheet US$'!K$7</f>
        <v>163.20246343341032</v>
      </c>
      <c r="L28" s="58">
        <f>'Balance Sheet Reported'!L28/'Balance Sheet US$'!L$7</f>
        <v>124.61526912393964</v>
      </c>
      <c r="M28" s="58">
        <f>'Balance Sheet Reported'!M28/'Balance Sheet US$'!M$7</f>
        <v>150.85511455308165</v>
      </c>
    </row>
    <row r="29" spans="1:13" x14ac:dyDescent="0.3">
      <c r="A29" s="17" t="s">
        <v>70</v>
      </c>
      <c r="B29" s="58">
        <f>'Balance Sheet Reported'!B29/'Balance Sheet US$'!B$7</f>
        <v>0</v>
      </c>
      <c r="C29" s="58">
        <f>'Balance Sheet Reported'!C29/'Balance Sheet US$'!C$7</f>
        <v>0</v>
      </c>
      <c r="D29" s="58">
        <f>'Balance Sheet Reported'!D29/'Balance Sheet US$'!D$7</f>
        <v>0</v>
      </c>
      <c r="E29" s="58">
        <f>'Balance Sheet Reported'!E29/'Balance Sheet US$'!E$7</f>
        <v>0</v>
      </c>
      <c r="F29" s="58">
        <f>'Balance Sheet Reported'!F29/'Balance Sheet US$'!F$7</f>
        <v>0</v>
      </c>
      <c r="G29" s="58">
        <f>'Balance Sheet Reported'!G29/'Balance Sheet US$'!G$7</f>
        <v>0</v>
      </c>
      <c r="H29" s="58">
        <f>'Balance Sheet Reported'!H29/'Balance Sheet US$'!H$7</f>
        <v>0</v>
      </c>
      <c r="I29" s="58">
        <f>'Balance Sheet Reported'!I29/'Balance Sheet US$'!I$7</f>
        <v>0</v>
      </c>
      <c r="J29" s="58">
        <f>'Balance Sheet Reported'!J29/'Balance Sheet US$'!J$7</f>
        <v>0</v>
      </c>
      <c r="K29" s="58">
        <f>'Balance Sheet Reported'!K29/'Balance Sheet US$'!K$7</f>
        <v>0</v>
      </c>
      <c r="L29" s="58">
        <f>'Balance Sheet Reported'!L29/'Balance Sheet US$'!L$7</f>
        <v>0</v>
      </c>
      <c r="M29" s="58">
        <f>'Balance Sheet Reported'!M29/'Balance Sheet US$'!M$7</f>
        <v>0</v>
      </c>
    </row>
    <row r="30" spans="1:13" x14ac:dyDescent="0.3">
      <c r="A30" s="17" t="s">
        <v>71</v>
      </c>
      <c r="B30" s="58">
        <f>'Balance Sheet Reported'!B30/'Balance Sheet US$'!B$7</f>
        <v>644.20499999999993</v>
      </c>
      <c r="C30" s="58">
        <f>'Balance Sheet Reported'!C30/'Balance Sheet US$'!C$7</f>
        <v>696.90559999999994</v>
      </c>
      <c r="D30" s="58">
        <f>'Balance Sheet Reported'!D30/'Balance Sheet US$'!D$7</f>
        <v>551.65</v>
      </c>
      <c r="E30" s="58">
        <f>'Balance Sheet Reported'!E30/'Balance Sheet US$'!E$7</f>
        <v>553.97217000000001</v>
      </c>
      <c r="F30" s="58">
        <f>'Balance Sheet Reported'!F30/'Balance Sheet US$'!F$7</f>
        <v>565.93119999999999</v>
      </c>
      <c r="G30" s="58">
        <f>'Balance Sheet Reported'!G30/'Balance Sheet US$'!G$7</f>
        <v>472.28609999999998</v>
      </c>
      <c r="H30" s="58">
        <f>'Balance Sheet Reported'!H30/'Balance Sheet US$'!H$7</f>
        <v>526.6294227188082</v>
      </c>
      <c r="I30" s="58">
        <f>'Balance Sheet Reported'!I30/'Balance Sheet US$'!I$7</f>
        <v>647.52207461618013</v>
      </c>
      <c r="J30" s="58">
        <f>'Balance Sheet Reported'!J30/'Balance Sheet US$'!J$7</f>
        <v>584.7351796077279</v>
      </c>
      <c r="K30" s="58">
        <f>'Balance Sheet Reported'!K30/'Balance Sheet US$'!K$7</f>
        <v>712.85604311008467</v>
      </c>
      <c r="L30" s="58">
        <f>'Balance Sheet Reported'!L30/'Balance Sheet US$'!L$7</f>
        <v>483.44718864950079</v>
      </c>
      <c r="M30" s="58">
        <f>'Balance Sheet Reported'!M30/'Balance Sheet US$'!M$7</f>
        <v>600.19361084220714</v>
      </c>
    </row>
    <row r="31" spans="1:13" x14ac:dyDescent="0.3">
      <c r="A31" s="17" t="s">
        <v>72</v>
      </c>
      <c r="B31" s="58">
        <f>'Balance Sheet Reported'!B31/'Balance Sheet US$'!B$7</f>
        <v>0</v>
      </c>
      <c r="C31" s="58">
        <f>'Balance Sheet Reported'!C31/'Balance Sheet US$'!C$7</f>
        <v>0</v>
      </c>
      <c r="D31" s="58">
        <f>'Balance Sheet Reported'!D31/'Balance Sheet US$'!D$7</f>
        <v>0</v>
      </c>
      <c r="E31" s="58">
        <f>'Balance Sheet Reported'!E31/'Balance Sheet US$'!E$7</f>
        <v>0</v>
      </c>
      <c r="F31" s="58">
        <f>'Balance Sheet Reported'!F31/'Balance Sheet US$'!F$7</f>
        <v>0</v>
      </c>
      <c r="G31" s="58">
        <f>'Balance Sheet Reported'!G31/'Balance Sheet US$'!G$7</f>
        <v>0</v>
      </c>
      <c r="H31" s="58">
        <f>'Balance Sheet Reported'!H31/'Balance Sheet US$'!H$7</f>
        <v>0</v>
      </c>
      <c r="I31" s="58">
        <f>'Balance Sheet Reported'!I31/'Balance Sheet US$'!I$7</f>
        <v>0</v>
      </c>
      <c r="J31" s="58">
        <f>'Balance Sheet Reported'!J31/'Balance Sheet US$'!J$7</f>
        <v>0</v>
      </c>
      <c r="K31" s="58">
        <f>'Balance Sheet Reported'!K31/'Balance Sheet US$'!K$7</f>
        <v>0</v>
      </c>
      <c r="L31" s="58">
        <f>'Balance Sheet Reported'!L31/'Balance Sheet US$'!L$7</f>
        <v>0</v>
      </c>
      <c r="M31" s="58">
        <f>'Balance Sheet Reported'!M31/'Balance Sheet US$'!M$7</f>
        <v>0</v>
      </c>
    </row>
    <row r="32" spans="1:13" x14ac:dyDescent="0.3">
      <c r="A32" s="17" t="s">
        <v>73</v>
      </c>
      <c r="B32" s="60">
        <f>'Balance Sheet Reported'!B32/'Balance Sheet US$'!B$7</f>
        <v>378.88499999999993</v>
      </c>
      <c r="C32" s="60">
        <f>'Balance Sheet Reported'!C32/'Balance Sheet US$'!C$7</f>
        <v>249.59399999999999</v>
      </c>
      <c r="D32" s="60">
        <f>'Balance Sheet Reported'!D32/'Balance Sheet US$'!D$7</f>
        <v>232.69599999999997</v>
      </c>
      <c r="E32" s="60">
        <f>'Balance Sheet Reported'!E32/'Balance Sheet US$'!E$7</f>
        <v>247.35938999999999</v>
      </c>
      <c r="F32" s="60">
        <f>'Balance Sheet Reported'!F32/'Balance Sheet US$'!F$7</f>
        <v>254.4965</v>
      </c>
      <c r="G32" s="60">
        <f>'Balance Sheet Reported'!G32/'Balance Sheet US$'!G$7</f>
        <v>379.85089999999997</v>
      </c>
      <c r="H32" s="60">
        <f>'Balance Sheet Reported'!H32/'Balance Sheet US$'!H$7</f>
        <v>259.96275605214151</v>
      </c>
      <c r="I32" s="60">
        <f>'Balance Sheet Reported'!I32/'Balance Sheet US$'!I$7</f>
        <v>258.53154084798348</v>
      </c>
      <c r="J32" s="60">
        <f>'Balance Sheet Reported'!J32/'Balance Sheet US$'!J$7</f>
        <v>306.32483655329463</v>
      </c>
      <c r="K32" s="60">
        <f>'Balance Sheet Reported'!K32/'Balance Sheet US$'!K$7</f>
        <v>255.58121632024637</v>
      </c>
      <c r="L32" s="60">
        <f>'Balance Sheet Reported'!L32/'Balance Sheet US$'!L$7</f>
        <v>190.67637564747392</v>
      </c>
      <c r="M32" s="60">
        <f>'Balance Sheet Reported'!M32/'Balance Sheet US$'!M$7</f>
        <v>108.09938689899967</v>
      </c>
    </row>
    <row r="33" spans="1:13" x14ac:dyDescent="0.3">
      <c r="A33" s="14" t="s">
        <v>74</v>
      </c>
      <c r="B33" s="22">
        <f t="shared" ref="B33:M33" si="9">SUM(B25:B32)</f>
        <v>3462.2249999999995</v>
      </c>
      <c r="C33" s="22">
        <f t="shared" si="9"/>
        <v>3256.4675999999999</v>
      </c>
      <c r="D33" s="22">
        <f t="shared" si="9"/>
        <v>3063.1619999999994</v>
      </c>
      <c r="E33" s="22">
        <f t="shared" si="9"/>
        <v>3092.4626400000002</v>
      </c>
      <c r="F33" s="22">
        <f t="shared" si="9"/>
        <v>3000.4706000000001</v>
      </c>
      <c r="G33" s="22">
        <f t="shared" si="9"/>
        <v>2978.8687499999996</v>
      </c>
      <c r="H33" s="22">
        <f t="shared" si="9"/>
        <v>3237.9888268156428</v>
      </c>
      <c r="I33" s="22">
        <f t="shared" ref="I33:J33" si="10">SUM(I25:I32)</f>
        <v>4213.6663749900572</v>
      </c>
      <c r="J33" s="22">
        <f t="shared" si="10"/>
        <v>4628.6637772717258</v>
      </c>
      <c r="K33" s="22">
        <f t="shared" ref="K33:L33" si="11">SUM(K25:K32)</f>
        <v>5785.98922247883</v>
      </c>
      <c r="L33" s="22">
        <f t="shared" si="11"/>
        <v>6509.271075745065</v>
      </c>
      <c r="M33" s="22">
        <f t="shared" si="9"/>
        <v>7953.3720555017753</v>
      </c>
    </row>
    <row r="34" spans="1:13" x14ac:dyDescent="0.3">
      <c r="A34" s="14" t="s">
        <v>91</v>
      </c>
      <c r="B34" s="22">
        <f t="shared" ref="B34:M34" si="12">B24+B33</f>
        <v>10596.719999999998</v>
      </c>
      <c r="C34" s="22">
        <f t="shared" si="12"/>
        <v>9428.7803999999996</v>
      </c>
      <c r="D34" s="22">
        <f t="shared" si="12"/>
        <v>9087.18</v>
      </c>
      <c r="E34" s="22">
        <f t="shared" si="12"/>
        <v>8906.8191000000006</v>
      </c>
      <c r="F34" s="22">
        <f t="shared" si="12"/>
        <v>9186.0295999999998</v>
      </c>
      <c r="G34" s="22">
        <f t="shared" si="12"/>
        <v>9479.6630499999992</v>
      </c>
      <c r="H34" s="22">
        <f t="shared" si="12"/>
        <v>11258.100558659218</v>
      </c>
      <c r="I34" s="22">
        <f t="shared" ref="I34:J34" si="13">I24+I33</f>
        <v>14078.434492084958</v>
      </c>
      <c r="J34" s="22">
        <f t="shared" si="13"/>
        <v>16075.075295673254</v>
      </c>
      <c r="K34" s="22">
        <f t="shared" ref="K34:L34" si="14">K24+K33</f>
        <v>21369.515011547348</v>
      </c>
      <c r="L34" s="22">
        <f t="shared" si="14"/>
        <v>21704.826964942571</v>
      </c>
      <c r="M34" s="22">
        <f t="shared" si="12"/>
        <v>24443.368828654406</v>
      </c>
    </row>
    <row r="35" spans="1:13" x14ac:dyDescent="0.3">
      <c r="A35" s="17" t="s">
        <v>92</v>
      </c>
      <c r="B35" s="58">
        <f>'Balance Sheet Reported'!B35/'Balance Sheet US$'!B$7</f>
        <v>0</v>
      </c>
      <c r="C35" s="58">
        <f>'Balance Sheet Reported'!C35/'Balance Sheet US$'!C$7</f>
        <v>0</v>
      </c>
      <c r="D35" s="58">
        <f>'Balance Sheet Reported'!D35/'Balance Sheet US$'!D$7</f>
        <v>0</v>
      </c>
      <c r="E35" s="58">
        <f>'Balance Sheet Reported'!E35/'Balance Sheet US$'!E$7</f>
        <v>0</v>
      </c>
      <c r="F35" s="58">
        <f>'Balance Sheet Reported'!F35/'Balance Sheet US$'!F$7</f>
        <v>0</v>
      </c>
      <c r="G35" s="58">
        <f>'Balance Sheet Reported'!G35/'Balance Sheet US$'!G$7</f>
        <v>0</v>
      </c>
      <c r="H35" s="58">
        <f>'Balance Sheet Reported'!H35/'Balance Sheet US$'!H$7</f>
        <v>0</v>
      </c>
      <c r="I35" s="58">
        <f>'Balance Sheet Reported'!I35/'Balance Sheet US$'!I$7</f>
        <v>0</v>
      </c>
      <c r="J35" s="58">
        <f>'Balance Sheet Reported'!J35/'Balance Sheet US$'!J$7</f>
        <v>299.7135091456696</v>
      </c>
      <c r="K35" s="58">
        <f>'Balance Sheet Reported'!K35/'Balance Sheet US$'!K$7</f>
        <v>451.88606620477293</v>
      </c>
      <c r="L35" s="58">
        <f>'Balance Sheet Reported'!L35/'Balance Sheet US$'!L$7</f>
        <v>933.86382403723439</v>
      </c>
      <c r="M35" s="58">
        <f>'Balance Sheet Reported'!M35/'Balance Sheet US$'!M$7</f>
        <v>417.87673443046145</v>
      </c>
    </row>
    <row r="36" spans="1:13" x14ac:dyDescent="0.3">
      <c r="A36" s="17" t="s">
        <v>93</v>
      </c>
      <c r="B36" s="58">
        <f>'Balance Sheet Reported'!B36/'Balance Sheet US$'!B$7</f>
        <v>507.52499999999992</v>
      </c>
      <c r="C36" s="58">
        <f>'Balance Sheet Reported'!C36/'Balance Sheet US$'!C$7</f>
        <v>415.01119999999997</v>
      </c>
      <c r="D36" s="58">
        <f>'Balance Sheet Reported'!D36/'Balance Sheet US$'!D$7</f>
        <v>507.51799999999992</v>
      </c>
      <c r="E36" s="58">
        <f>'Balance Sheet Reported'!E36/'Balance Sheet US$'!E$7</f>
        <v>351.75821999999999</v>
      </c>
      <c r="F36" s="58">
        <f>'Balance Sheet Reported'!F36/'Balance Sheet US$'!F$7</f>
        <v>417.54680000000002</v>
      </c>
      <c r="G36" s="58">
        <f>'Balance Sheet Reported'!G36/'Balance Sheet US$'!G$7</f>
        <v>378.40659999999997</v>
      </c>
      <c r="H36" s="58">
        <f>'Balance Sheet Reported'!H36/'Balance Sheet US$'!H$7</f>
        <v>526.6294227188082</v>
      </c>
      <c r="I36" s="58">
        <f>'Balance Sheet Reported'!I36/'Balance Sheet US$'!I$7</f>
        <v>533.76819664306743</v>
      </c>
      <c r="J36" s="58">
        <f>'Balance Sheet Reported'!J36/'Balance Sheet US$'!J$7</f>
        <v>470.13883787556011</v>
      </c>
      <c r="K36" s="58">
        <f>'Balance Sheet Reported'!K36/'Balance Sheet US$'!K$7</f>
        <v>485.7582755966128</v>
      </c>
      <c r="L36" s="58">
        <f>'Balance Sheet Reported'!L36/'Balance Sheet US$'!L$7</f>
        <v>408.37774941821181</v>
      </c>
      <c r="M36" s="58">
        <f>'Balance Sheet Reported'!M36/'Balance Sheet US$'!M$7</f>
        <v>400.93578573733464</v>
      </c>
    </row>
    <row r="37" spans="1:13" x14ac:dyDescent="0.3">
      <c r="A37" s="17" t="s">
        <v>94</v>
      </c>
      <c r="B37" s="58">
        <f>'Balance Sheet Reported'!B37/'Balance Sheet US$'!B$7</f>
        <v>0</v>
      </c>
      <c r="C37" s="58">
        <f>'Balance Sheet Reported'!C37/'Balance Sheet US$'!C$7</f>
        <v>0</v>
      </c>
      <c r="D37" s="58">
        <f>'Balance Sheet Reported'!D37/'Balance Sheet US$'!D$7</f>
        <v>0</v>
      </c>
      <c r="E37" s="58">
        <f>'Balance Sheet Reported'!E37/'Balance Sheet US$'!E$7</f>
        <v>0</v>
      </c>
      <c r="F37" s="58">
        <f>'Balance Sheet Reported'!F37/'Balance Sheet US$'!F$7</f>
        <v>0</v>
      </c>
      <c r="G37" s="58">
        <f>'Balance Sheet Reported'!G37/'Balance Sheet US$'!G$7</f>
        <v>0</v>
      </c>
      <c r="H37" s="58">
        <f>'Balance Sheet Reported'!H37/'Balance Sheet US$'!H$7</f>
        <v>0</v>
      </c>
      <c r="I37" s="58">
        <f>'Balance Sheet Reported'!I37/'Balance Sheet US$'!I$7</f>
        <v>0</v>
      </c>
      <c r="J37" s="58">
        <f>'Balance Sheet Reported'!J37/'Balance Sheet US$'!J$7</f>
        <v>0</v>
      </c>
      <c r="K37" s="58">
        <f>'Balance Sheet Reported'!K37/'Balance Sheet US$'!K$7</f>
        <v>0</v>
      </c>
      <c r="L37" s="58">
        <f>'Balance Sheet Reported'!L37/'Balance Sheet US$'!L$7</f>
        <v>0</v>
      </c>
      <c r="M37" s="58">
        <f>'Balance Sheet Reported'!M37/'Balance Sheet US$'!M$7</f>
        <v>0</v>
      </c>
    </row>
    <row r="38" spans="1:13" x14ac:dyDescent="0.3">
      <c r="A38" s="17" t="s">
        <v>95</v>
      </c>
      <c r="B38" s="58">
        <f>'Balance Sheet Reported'!B38/'Balance Sheet US$'!B$7</f>
        <v>1187.9099999999999</v>
      </c>
      <c r="C38" s="58">
        <f>'Balance Sheet Reported'!C38/'Balance Sheet US$'!C$7</f>
        <v>1150.0899999999999</v>
      </c>
      <c r="D38" s="58">
        <f>'Balance Sheet Reported'!D38/'Balance Sheet US$'!D$7</f>
        <v>1164.4829999999999</v>
      </c>
      <c r="E38" s="58">
        <f>'Balance Sheet Reported'!E38/'Balance Sheet US$'!E$7</f>
        <v>1061.8583699999999</v>
      </c>
      <c r="F38" s="58">
        <f>'Balance Sheet Reported'!F38/'Balance Sheet US$'!F$7</f>
        <v>1086.1393</v>
      </c>
      <c r="G38" s="58">
        <f>'Balance Sheet Reported'!G38/'Balance Sheet US$'!G$7</f>
        <v>1073.8370499999999</v>
      </c>
      <c r="H38" s="58">
        <f>'Balance Sheet Reported'!H38/'Balance Sheet US$'!H$7</f>
        <v>1224.5810055865923</v>
      </c>
      <c r="I38" s="58">
        <f>'Balance Sheet Reported'!I38/'Balance Sheet US$'!I$7</f>
        <v>1559.9395433935249</v>
      </c>
      <c r="J38" s="58">
        <f>'Balance Sheet Reported'!J38/'Balance Sheet US$'!J$7</f>
        <v>1403.8051862190553</v>
      </c>
      <c r="K38" s="58">
        <f>'Balance Sheet Reported'!K38/'Balance Sheet US$'!K$7</f>
        <v>1890.6851424172442</v>
      </c>
      <c r="L38" s="58">
        <f>'Balance Sheet Reported'!L38/'Balance Sheet US$'!L$7</f>
        <v>1850.4616770512723</v>
      </c>
      <c r="M38" s="58">
        <f>'Balance Sheet Reported'!M38/'Balance Sheet US$'!M$7</f>
        <v>1888.5124233623749</v>
      </c>
    </row>
    <row r="39" spans="1:13" x14ac:dyDescent="0.3">
      <c r="A39" s="17" t="s">
        <v>96</v>
      </c>
      <c r="B39" s="58">
        <f>'Balance Sheet Reported'!B39/'Balance Sheet US$'!B$7</f>
        <v>0</v>
      </c>
      <c r="C39" s="58">
        <f>'Balance Sheet Reported'!C39/'Balance Sheet US$'!C$7</f>
        <v>0</v>
      </c>
      <c r="D39" s="58">
        <f>'Balance Sheet Reported'!D39/'Balance Sheet US$'!D$7</f>
        <v>0</v>
      </c>
      <c r="E39" s="58">
        <f>'Balance Sheet Reported'!E39/'Balance Sheet US$'!E$7</f>
        <v>0</v>
      </c>
      <c r="F39" s="58">
        <f>'Balance Sheet Reported'!F39/'Balance Sheet US$'!F$7</f>
        <v>0</v>
      </c>
      <c r="G39" s="58">
        <f>'Balance Sheet Reported'!G39/'Balance Sheet US$'!G$7</f>
        <v>0</v>
      </c>
      <c r="H39" s="58">
        <f>'Balance Sheet Reported'!H39/'Balance Sheet US$'!H$7</f>
        <v>0</v>
      </c>
      <c r="I39" s="58">
        <f>'Balance Sheet Reported'!I39/'Balance Sheet US$'!I$7</f>
        <v>0</v>
      </c>
      <c r="J39" s="58">
        <f>'Balance Sheet Reported'!J39/'Balance Sheet US$'!J$7</f>
        <v>0</v>
      </c>
      <c r="K39" s="58">
        <f>'Balance Sheet Reported'!K39/'Balance Sheet US$'!K$7</f>
        <v>0</v>
      </c>
      <c r="L39" s="58">
        <f>'Balance Sheet Reported'!L39/'Balance Sheet US$'!L$7</f>
        <v>429.39719240297273</v>
      </c>
      <c r="M39" s="58">
        <f>'Balance Sheet Reported'!M39/'Balance Sheet US$'!M$7</f>
        <v>694.57889641819941</v>
      </c>
    </row>
    <row r="40" spans="1:13" x14ac:dyDescent="0.3">
      <c r="A40" s="17" t="s">
        <v>97</v>
      </c>
      <c r="B40" s="58">
        <f>'Balance Sheet Reported'!B40/'Balance Sheet US$'!B$7</f>
        <v>1381.8749999999998</v>
      </c>
      <c r="C40" s="58">
        <f>'Balance Sheet Reported'!C40/'Balance Sheet US$'!C$7</f>
        <v>1521.0552</v>
      </c>
      <c r="D40" s="58">
        <f>'Balance Sheet Reported'!D40/'Balance Sheet US$'!D$7</f>
        <v>1603.7969999999998</v>
      </c>
      <c r="E40" s="58">
        <f>'Balance Sheet Reported'!E40/'Balance Sheet US$'!E$7</f>
        <v>1586.6741099999999</v>
      </c>
      <c r="F40" s="58">
        <f>'Balance Sheet Reported'!F40/'Balance Sheet US$'!F$7</f>
        <v>1547.6838</v>
      </c>
      <c r="G40" s="58">
        <f>'Balance Sheet Reported'!G40/'Balance Sheet US$'!G$7</f>
        <v>1312.8686999999998</v>
      </c>
      <c r="H40" s="58">
        <f>'Balance Sheet Reported'!H40/'Balance Sheet US$'!H$7</f>
        <v>1544.1340782122904</v>
      </c>
      <c r="I40" s="58">
        <f>'Balance Sheet Reported'!I40/'Balance Sheet US$'!I$7</f>
        <v>1931.4294805504735</v>
      </c>
      <c r="J40" s="58">
        <f>'Balance Sheet Reported'!J40/'Balance Sheet US$'!J$7</f>
        <v>1995.886285168589</v>
      </c>
      <c r="K40" s="58">
        <f>'Balance Sheet Reported'!K40/'Balance Sheet US$'!K$7</f>
        <v>3157.0438799076214</v>
      </c>
      <c r="L40" s="58">
        <f>'Balance Sheet Reported'!L40/'Balance Sheet US$'!L$7</f>
        <v>1737.1068238120261</v>
      </c>
      <c r="M40" s="58">
        <f>'Balance Sheet Reported'!M40/'Balance Sheet US$'!M$7</f>
        <v>1558.5672797676668</v>
      </c>
    </row>
    <row r="41" spans="1:13" x14ac:dyDescent="0.3">
      <c r="A41" s="17" t="s">
        <v>98</v>
      </c>
      <c r="B41" s="58">
        <f>'Balance Sheet Reported'!B41/'Balance Sheet US$'!B$7</f>
        <v>0</v>
      </c>
      <c r="C41" s="58">
        <f>'Balance Sheet Reported'!C41/'Balance Sheet US$'!C$7</f>
        <v>0</v>
      </c>
      <c r="D41" s="58">
        <f>'Balance Sheet Reported'!D41/'Balance Sheet US$'!D$7</f>
        <v>0</v>
      </c>
      <c r="E41" s="58">
        <f>'Balance Sheet Reported'!E41/'Balance Sheet US$'!E$7</f>
        <v>0</v>
      </c>
      <c r="F41" s="58">
        <f>'Balance Sheet Reported'!F41/'Balance Sheet US$'!F$7</f>
        <v>0</v>
      </c>
      <c r="G41" s="58">
        <f>'Balance Sheet Reported'!G41/'Balance Sheet US$'!G$7</f>
        <v>0</v>
      </c>
      <c r="H41" s="58">
        <f>'Balance Sheet Reported'!H41/'Balance Sheet US$'!H$7</f>
        <v>0</v>
      </c>
      <c r="I41" s="58">
        <f>'Balance Sheet Reported'!I41/'Balance Sheet US$'!I$7</f>
        <v>0</v>
      </c>
      <c r="J41" s="58">
        <f>'Balance Sheet Reported'!J41/'Balance Sheet US$'!J$7</f>
        <v>0</v>
      </c>
      <c r="K41" s="58">
        <f>'Balance Sheet Reported'!K41/'Balance Sheet US$'!K$7</f>
        <v>0</v>
      </c>
      <c r="L41" s="58">
        <f>'Balance Sheet Reported'!L41/'Balance Sheet US$'!L$7</f>
        <v>0</v>
      </c>
      <c r="M41" s="58">
        <f>'Balance Sheet Reported'!M41/'Balance Sheet US$'!M$7</f>
        <v>0</v>
      </c>
    </row>
    <row r="42" spans="1:13" x14ac:dyDescent="0.3">
      <c r="A42" s="17" t="s">
        <v>99</v>
      </c>
      <c r="B42" s="60">
        <f>'Balance Sheet Reported'!B42/'Balance Sheet US$'!B$7</f>
        <v>0</v>
      </c>
      <c r="C42" s="60">
        <f>'Balance Sheet Reported'!C42/'Balance Sheet US$'!C$7</f>
        <v>0</v>
      </c>
      <c r="D42" s="60">
        <f>'Balance Sheet Reported'!D42/'Balance Sheet US$'!D$7</f>
        <v>0</v>
      </c>
      <c r="E42" s="60">
        <f>'Balance Sheet Reported'!E42/'Balance Sheet US$'!E$7</f>
        <v>0</v>
      </c>
      <c r="F42" s="60">
        <f>'Balance Sheet Reported'!F42/'Balance Sheet US$'!F$7</f>
        <v>0</v>
      </c>
      <c r="G42" s="60">
        <f>'Balance Sheet Reported'!G42/'Balance Sheet US$'!G$7</f>
        <v>0</v>
      </c>
      <c r="H42" s="60">
        <f>'Balance Sheet Reported'!H42/'Balance Sheet US$'!H$7</f>
        <v>0</v>
      </c>
      <c r="I42" s="60">
        <f>'Balance Sheet Reported'!I42/'Balance Sheet US$'!I$7</f>
        <v>0</v>
      </c>
      <c r="J42" s="60">
        <f>'Balance Sheet Reported'!J42/'Balance Sheet US$'!J$7</f>
        <v>0</v>
      </c>
      <c r="K42" s="60">
        <f>'Balance Sheet Reported'!K42/'Balance Sheet US$'!K$7</f>
        <v>0</v>
      </c>
      <c r="L42" s="60">
        <f>'Balance Sheet Reported'!L42/'Balance Sheet US$'!L$7</f>
        <v>0</v>
      </c>
      <c r="M42" s="60">
        <f>'Balance Sheet Reported'!M42/'Balance Sheet US$'!M$7</f>
        <v>0</v>
      </c>
    </row>
    <row r="43" spans="1:13" x14ac:dyDescent="0.3">
      <c r="A43" s="14" t="s">
        <v>100</v>
      </c>
      <c r="B43" s="22">
        <f t="shared" ref="B43:M43" si="15">SUM(B35:B42)</f>
        <v>3077.3099999999995</v>
      </c>
      <c r="C43" s="22">
        <f t="shared" si="15"/>
        <v>3086.1563999999998</v>
      </c>
      <c r="D43" s="22">
        <f t="shared" si="15"/>
        <v>3275.7979999999998</v>
      </c>
      <c r="E43" s="22">
        <f t="shared" si="15"/>
        <v>3000.2906999999996</v>
      </c>
      <c r="F43" s="22">
        <f t="shared" si="15"/>
        <v>3051.3699000000001</v>
      </c>
      <c r="G43" s="22">
        <f t="shared" si="15"/>
        <v>2765.1123499999994</v>
      </c>
      <c r="H43" s="22">
        <f t="shared" si="15"/>
        <v>3295.3445065176911</v>
      </c>
      <c r="I43" s="22">
        <f t="shared" ref="I43:J43" si="16">SUM(I35:I42)</f>
        <v>4025.1372205870657</v>
      </c>
      <c r="J43" s="22">
        <f t="shared" si="16"/>
        <v>4169.5438184088744</v>
      </c>
      <c r="K43" s="22">
        <f t="shared" ref="K43:L43" si="17">SUM(K35:K42)</f>
        <v>5985.3733641262515</v>
      </c>
      <c r="L43" s="22">
        <f t="shared" si="17"/>
        <v>5359.2072667217171</v>
      </c>
      <c r="M43" s="22">
        <f t="shared" si="15"/>
        <v>4960.4711197160368</v>
      </c>
    </row>
    <row r="44" spans="1:13" x14ac:dyDescent="0.3">
      <c r="A44" s="14" t="s">
        <v>254</v>
      </c>
      <c r="B44" s="22">
        <f t="shared" ref="B44:M44" si="18">B33-B43</f>
        <v>384.91499999999996</v>
      </c>
      <c r="C44" s="22">
        <f t="shared" si="18"/>
        <v>170.3112000000001</v>
      </c>
      <c r="D44" s="22">
        <f t="shared" si="18"/>
        <v>-212.63600000000042</v>
      </c>
      <c r="E44" s="22">
        <f t="shared" si="18"/>
        <v>92.171940000000632</v>
      </c>
      <c r="F44" s="22">
        <f t="shared" si="18"/>
        <v>-50.899300000000039</v>
      </c>
      <c r="G44" s="22">
        <f t="shared" si="18"/>
        <v>213.75640000000021</v>
      </c>
      <c r="H44" s="22">
        <f t="shared" si="18"/>
        <v>-57.355679702048292</v>
      </c>
      <c r="I44" s="22">
        <f t="shared" ref="I44:J44" si="19">I33-I43</f>
        <v>188.52915440299148</v>
      </c>
      <c r="J44" s="22">
        <f t="shared" si="19"/>
        <v>459.11995886285149</v>
      </c>
      <c r="K44" s="22">
        <f t="shared" ref="K44:L44" si="20">K33-K43</f>
        <v>-199.38414164742153</v>
      </c>
      <c r="L44" s="22">
        <f t="shared" si="20"/>
        <v>1150.0638090233479</v>
      </c>
      <c r="M44" s="22">
        <f t="shared" si="18"/>
        <v>2992.9009357857385</v>
      </c>
    </row>
    <row r="45" spans="1:13" x14ac:dyDescent="0.3">
      <c r="A45" s="17" t="s">
        <v>101</v>
      </c>
      <c r="B45" s="58">
        <f>'Balance Sheet Reported'!B45/'Balance Sheet US$'!B$7</f>
        <v>3971.7599999999993</v>
      </c>
      <c r="C45" s="58">
        <f>'Balance Sheet Reported'!C45/'Balance Sheet US$'!C$7</f>
        <v>3823.1927999999998</v>
      </c>
      <c r="D45" s="58">
        <f>'Balance Sheet Reported'!D45/'Balance Sheet US$'!D$7</f>
        <v>3459.3469999999993</v>
      </c>
      <c r="E45" s="58">
        <f>'Balance Sheet Reported'!E45/'Balance Sheet US$'!E$7</f>
        <v>3723.55827</v>
      </c>
      <c r="F45" s="58">
        <f>'Balance Sheet Reported'!F45/'Balance Sheet US$'!F$7</f>
        <v>4082.2964000000002</v>
      </c>
      <c r="G45" s="58">
        <f>'Balance Sheet Reported'!G45/'Balance Sheet US$'!G$7</f>
        <v>4239.0204999999996</v>
      </c>
      <c r="H45" s="58">
        <f>'Balance Sheet Reported'!H45/'Balance Sheet US$'!H$7</f>
        <v>4402.9795158286779</v>
      </c>
      <c r="I45" s="58">
        <f>'Balance Sheet Reported'!I45/'Balance Sheet US$'!I$7</f>
        <v>4333.7841062763509</v>
      </c>
      <c r="J45" s="58">
        <f>'Balance Sheet Reported'!J45/'Balance Sheet US$'!J$7</f>
        <v>4449.4233453316683</v>
      </c>
      <c r="K45" s="58">
        <f>'Balance Sheet Reported'!K45/'Balance Sheet US$'!K$7</f>
        <v>4000</v>
      </c>
      <c r="L45" s="58">
        <f>'Balance Sheet Reported'!L45/'Balance Sheet US$'!L$7</f>
        <v>6117.4086029577356</v>
      </c>
      <c r="M45" s="58">
        <f>'Balance Sheet Reported'!M45/'Balance Sheet US$'!M$7</f>
        <v>10374.314294933849</v>
      </c>
    </row>
    <row r="46" spans="1:13" x14ac:dyDescent="0.3">
      <c r="A46" s="17" t="s">
        <v>102</v>
      </c>
      <c r="B46" s="58">
        <f>'Balance Sheet Reported'!B46/'Balance Sheet US$'!B$7</f>
        <v>0</v>
      </c>
      <c r="C46" s="58">
        <f>'Balance Sheet Reported'!C46/'Balance Sheet US$'!C$7</f>
        <v>0</v>
      </c>
      <c r="D46" s="58">
        <f>'Balance Sheet Reported'!D46/'Balance Sheet US$'!D$7</f>
        <v>0</v>
      </c>
      <c r="E46" s="58">
        <f>'Balance Sheet Reported'!E46/'Balance Sheet US$'!E$7</f>
        <v>0</v>
      </c>
      <c r="F46" s="58">
        <f>'Balance Sheet Reported'!F46/'Balance Sheet US$'!F$7</f>
        <v>0</v>
      </c>
      <c r="G46" s="58">
        <f>'Balance Sheet Reported'!G46/'Balance Sheet US$'!G$7</f>
        <v>0</v>
      </c>
      <c r="H46" s="58">
        <f>'Balance Sheet Reported'!H46/'Balance Sheet US$'!H$7</f>
        <v>0</v>
      </c>
      <c r="I46" s="58">
        <f>'Balance Sheet Reported'!I46/'Balance Sheet US$'!I$7</f>
        <v>0</v>
      </c>
      <c r="J46" s="58">
        <f>'Balance Sheet Reported'!J46/'Balance Sheet US$'!J$7</f>
        <v>2068.6108866524646</v>
      </c>
      <c r="K46" s="58">
        <f>'Balance Sheet Reported'!K46/'Balance Sheet US$'!K$7</f>
        <v>2177.0592763664358</v>
      </c>
      <c r="L46" s="58">
        <f>'Balance Sheet Reported'!L46/'Balance Sheet US$'!L$7</f>
        <v>2291.1192853389384</v>
      </c>
      <c r="M46" s="58">
        <f>'Balance Sheet Reported'!M46/'Balance Sheet US$'!M$7</f>
        <v>2264.4401419812843</v>
      </c>
    </row>
    <row r="47" spans="1:13" x14ac:dyDescent="0.3">
      <c r="A47" s="17" t="s">
        <v>103</v>
      </c>
      <c r="B47" s="58">
        <f>'Balance Sheet Reported'!B47/'Balance Sheet US$'!B$7</f>
        <v>0</v>
      </c>
      <c r="C47" s="58">
        <f>'Balance Sheet Reported'!C47/'Balance Sheet US$'!C$7</f>
        <v>0</v>
      </c>
      <c r="D47" s="58">
        <f>'Balance Sheet Reported'!D47/'Balance Sheet US$'!D$7</f>
        <v>0</v>
      </c>
      <c r="E47" s="58">
        <f>'Balance Sheet Reported'!E47/'Balance Sheet US$'!E$7</f>
        <v>0</v>
      </c>
      <c r="F47" s="58">
        <f>'Balance Sheet Reported'!F47/'Balance Sheet US$'!F$7</f>
        <v>0</v>
      </c>
      <c r="G47" s="58">
        <f>'Balance Sheet Reported'!G47/'Balance Sheet US$'!G$7</f>
        <v>0</v>
      </c>
      <c r="H47" s="58">
        <f>'Balance Sheet Reported'!H47/'Balance Sheet US$'!H$7</f>
        <v>0</v>
      </c>
      <c r="I47" s="58">
        <f>'Balance Sheet Reported'!I47/'Balance Sheet US$'!I$7</f>
        <v>0</v>
      </c>
      <c r="J47" s="58">
        <f>'Balance Sheet Reported'!J47/'Balance Sheet US$'!J$7</f>
        <v>0</v>
      </c>
      <c r="K47" s="58">
        <f>'Balance Sheet Reported'!K47/'Balance Sheet US$'!K$7</f>
        <v>0</v>
      </c>
      <c r="L47" s="58">
        <f>'Balance Sheet Reported'!L47/'Balance Sheet US$'!L$7</f>
        <v>0</v>
      </c>
      <c r="M47" s="58">
        <f>'Balance Sheet Reported'!M47/'Balance Sheet US$'!M$7</f>
        <v>0</v>
      </c>
    </row>
    <row r="48" spans="1:13" x14ac:dyDescent="0.3">
      <c r="A48" s="17" t="s">
        <v>104</v>
      </c>
      <c r="B48" s="60">
        <f>'Balance Sheet Reported'!B48/'Balance Sheet US$'!B$7</f>
        <v>0</v>
      </c>
      <c r="C48" s="60">
        <f>'Balance Sheet Reported'!C48/'Balance Sheet US$'!C$7</f>
        <v>0</v>
      </c>
      <c r="D48" s="60">
        <f>'Balance Sheet Reported'!D48/'Balance Sheet US$'!D$7</f>
        <v>0</v>
      </c>
      <c r="E48" s="60">
        <f>'Balance Sheet Reported'!E48/'Balance Sheet US$'!E$7</f>
        <v>0</v>
      </c>
      <c r="F48" s="60">
        <f>'Balance Sheet Reported'!F48/'Balance Sheet US$'!F$7</f>
        <v>0</v>
      </c>
      <c r="G48" s="60">
        <f>'Balance Sheet Reported'!G48/'Balance Sheet US$'!G$7</f>
        <v>0</v>
      </c>
      <c r="H48" s="60">
        <f>'Balance Sheet Reported'!H48/'Balance Sheet US$'!H$7</f>
        <v>0</v>
      </c>
      <c r="I48" s="60">
        <f>'Balance Sheet Reported'!I48/'Balance Sheet US$'!I$7</f>
        <v>0</v>
      </c>
      <c r="J48" s="60">
        <f>'Balance Sheet Reported'!J48/'Balance Sheet US$'!J$7</f>
        <v>0</v>
      </c>
      <c r="K48" s="60">
        <f>'Balance Sheet Reported'!K48/'Balance Sheet US$'!K$7</f>
        <v>0</v>
      </c>
      <c r="L48" s="60">
        <f>'Balance Sheet Reported'!L48/'Balance Sheet US$'!L$7</f>
        <v>0</v>
      </c>
      <c r="M48" s="60">
        <f>'Balance Sheet Reported'!M48/'Balance Sheet US$'!M$7</f>
        <v>0</v>
      </c>
    </row>
    <row r="49" spans="1:13" x14ac:dyDescent="0.3">
      <c r="A49" s="14" t="s">
        <v>105</v>
      </c>
      <c r="B49" s="22">
        <f t="shared" ref="B49:M49" si="21">SUM(B45:B48)</f>
        <v>3971.7599999999993</v>
      </c>
      <c r="C49" s="22">
        <f t="shared" si="21"/>
        <v>3823.1927999999998</v>
      </c>
      <c r="D49" s="22">
        <f t="shared" si="21"/>
        <v>3459.3469999999993</v>
      </c>
      <c r="E49" s="22">
        <f t="shared" si="21"/>
        <v>3723.55827</v>
      </c>
      <c r="F49" s="22">
        <f t="shared" si="21"/>
        <v>4082.2964000000002</v>
      </c>
      <c r="G49" s="22">
        <f t="shared" si="21"/>
        <v>4239.0204999999996</v>
      </c>
      <c r="H49" s="22">
        <f t="shared" si="21"/>
        <v>4402.9795158286779</v>
      </c>
      <c r="I49" s="22">
        <f t="shared" ref="I49:J49" si="22">SUM(I45:I48)</f>
        <v>4333.7841062763509</v>
      </c>
      <c r="J49" s="22">
        <f t="shared" si="22"/>
        <v>6518.0342319841329</v>
      </c>
      <c r="K49" s="22">
        <f t="shared" ref="K49:L49" si="23">SUM(K45:K48)</f>
        <v>6177.0592763664354</v>
      </c>
      <c r="L49" s="22">
        <f t="shared" si="23"/>
        <v>8408.5278882966741</v>
      </c>
      <c r="M49" s="22">
        <f t="shared" si="21"/>
        <v>12638.754436915133</v>
      </c>
    </row>
    <row r="50" spans="1:13" x14ac:dyDescent="0.3">
      <c r="A50" s="17" t="s">
        <v>106</v>
      </c>
      <c r="B50" s="58">
        <f>'Balance Sheet Reported'!B50/'Balance Sheet US$'!B$7</f>
        <v>0</v>
      </c>
      <c r="C50" s="58">
        <f>'Balance Sheet Reported'!C50/'Balance Sheet US$'!C$7</f>
        <v>0</v>
      </c>
      <c r="D50" s="58">
        <f>'Balance Sheet Reported'!D50/'Balance Sheet US$'!D$7</f>
        <v>0</v>
      </c>
      <c r="E50" s="58">
        <f>'Balance Sheet Reported'!E50/'Balance Sheet US$'!E$7</f>
        <v>0</v>
      </c>
      <c r="F50" s="58">
        <f>'Balance Sheet Reported'!F50/'Balance Sheet US$'!F$7</f>
        <v>0</v>
      </c>
      <c r="G50" s="58">
        <f>'Balance Sheet Reported'!G50/'Balance Sheet US$'!G$7</f>
        <v>0</v>
      </c>
      <c r="H50" s="58">
        <f>'Balance Sheet Reported'!H50/'Balance Sheet US$'!H$7</f>
        <v>0</v>
      </c>
      <c r="I50" s="58">
        <f>'Balance Sheet Reported'!I50/'Balance Sheet US$'!I$7</f>
        <v>0</v>
      </c>
      <c r="J50" s="58">
        <f>'Balance Sheet Reported'!J50/'Balance Sheet US$'!J$7</f>
        <v>38.198780577389265</v>
      </c>
      <c r="K50" s="58">
        <f>'Balance Sheet Reported'!K50/'Balance Sheet US$'!K$7</f>
        <v>56.197074672825252</v>
      </c>
      <c r="L50" s="58">
        <f>'Balance Sheet Reported'!L50/'Balance Sheet US$'!L$7</f>
        <v>56.302079423466701</v>
      </c>
      <c r="M50" s="58">
        <f>'Balance Sheet Reported'!M50/'Balance Sheet US$'!M$7</f>
        <v>60.503388189738622</v>
      </c>
    </row>
    <row r="51" spans="1:13" x14ac:dyDescent="0.3">
      <c r="A51" s="17" t="s">
        <v>107</v>
      </c>
      <c r="B51" s="58">
        <f>'Balance Sheet Reported'!B51/'Balance Sheet US$'!B$7</f>
        <v>0</v>
      </c>
      <c r="C51" s="58">
        <f>'Balance Sheet Reported'!C51/'Balance Sheet US$'!C$7</f>
        <v>0</v>
      </c>
      <c r="D51" s="58">
        <f>'Balance Sheet Reported'!D51/'Balance Sheet US$'!D$7</f>
        <v>0</v>
      </c>
      <c r="E51" s="58">
        <f>'Balance Sheet Reported'!E51/'Balance Sheet US$'!E$7</f>
        <v>0</v>
      </c>
      <c r="F51" s="58">
        <f>'Balance Sheet Reported'!F51/'Balance Sheet US$'!F$7</f>
        <v>0</v>
      </c>
      <c r="G51" s="58">
        <f>'Balance Sheet Reported'!G51/'Balance Sheet US$'!G$7</f>
        <v>0</v>
      </c>
      <c r="H51" s="58">
        <f>'Balance Sheet Reported'!H51/'Balance Sheet US$'!H$7</f>
        <v>0</v>
      </c>
      <c r="I51" s="58">
        <f>'Balance Sheet Reported'!I51/'Balance Sheet US$'!I$7</f>
        <v>0</v>
      </c>
      <c r="J51" s="58">
        <f>'Balance Sheet Reported'!J51/'Balance Sheet US$'!J$7</f>
        <v>0</v>
      </c>
      <c r="K51" s="58">
        <f>'Balance Sheet Reported'!K51/'Balance Sheet US$'!K$7</f>
        <v>0</v>
      </c>
      <c r="L51" s="58">
        <f>'Balance Sheet Reported'!L51/'Balance Sheet US$'!L$7</f>
        <v>0</v>
      </c>
      <c r="M51" s="58">
        <f>'Balance Sheet Reported'!M51/'Balance Sheet US$'!M$7</f>
        <v>0</v>
      </c>
    </row>
    <row r="52" spans="1:13" x14ac:dyDescent="0.3">
      <c r="A52" s="17" t="s">
        <v>108</v>
      </c>
      <c r="B52" s="58">
        <f>'Balance Sheet Reported'!B52/'Balance Sheet US$'!B$7</f>
        <v>0</v>
      </c>
      <c r="C52" s="58">
        <f>'Balance Sheet Reported'!C52/'Balance Sheet US$'!C$7</f>
        <v>0</v>
      </c>
      <c r="D52" s="58">
        <f>'Balance Sheet Reported'!D52/'Balance Sheet US$'!D$7</f>
        <v>0</v>
      </c>
      <c r="E52" s="58">
        <f>'Balance Sheet Reported'!E52/'Balance Sheet US$'!E$7</f>
        <v>0</v>
      </c>
      <c r="F52" s="58">
        <f>'Balance Sheet Reported'!F52/'Balance Sheet US$'!F$7</f>
        <v>0</v>
      </c>
      <c r="G52" s="58">
        <f>'Balance Sheet Reported'!G52/'Balance Sheet US$'!G$7</f>
        <v>0</v>
      </c>
      <c r="H52" s="58">
        <f>'Balance Sheet Reported'!H52/'Balance Sheet US$'!H$7</f>
        <v>0</v>
      </c>
      <c r="I52" s="58">
        <f>'Balance Sheet Reported'!I52/'Balance Sheet US$'!I$7</f>
        <v>0</v>
      </c>
      <c r="J52" s="58">
        <f>'Balance Sheet Reported'!J52/'Balance Sheet US$'!J$7</f>
        <v>0</v>
      </c>
      <c r="K52" s="58">
        <f>'Balance Sheet Reported'!K52/'Balance Sheet US$'!K$7</f>
        <v>2414.1647421093148</v>
      </c>
      <c r="L52" s="58">
        <f>'Balance Sheet Reported'!L52/'Balance Sheet US$'!L$7</f>
        <v>3026.7997898055701</v>
      </c>
      <c r="M52" s="58">
        <f>'Balance Sheet Reported'!M52/'Balance Sheet US$'!M$7</f>
        <v>3042.110358180058</v>
      </c>
    </row>
    <row r="53" spans="1:13" x14ac:dyDescent="0.3">
      <c r="A53" s="17" t="s">
        <v>109</v>
      </c>
      <c r="B53" s="58">
        <f>'Balance Sheet Reported'!B53/'Balance Sheet US$'!B$7</f>
        <v>0</v>
      </c>
      <c r="C53" s="58">
        <f>'Balance Sheet Reported'!C53/'Balance Sheet US$'!C$7</f>
        <v>0</v>
      </c>
      <c r="D53" s="58">
        <f>'Balance Sheet Reported'!D53/'Balance Sheet US$'!D$7</f>
        <v>0</v>
      </c>
      <c r="E53" s="58">
        <f>'Balance Sheet Reported'!E53/'Balance Sheet US$'!E$7</f>
        <v>0</v>
      </c>
      <c r="F53" s="58">
        <f>'Balance Sheet Reported'!F53/'Balance Sheet US$'!F$7</f>
        <v>0</v>
      </c>
      <c r="G53" s="58">
        <f>'Balance Sheet Reported'!G53/'Balance Sheet US$'!G$7</f>
        <v>0</v>
      </c>
      <c r="H53" s="58">
        <f>'Balance Sheet Reported'!H53/'Balance Sheet US$'!H$7</f>
        <v>0</v>
      </c>
      <c r="I53" s="58">
        <f>'Balance Sheet Reported'!I53/'Balance Sheet US$'!I$7</f>
        <v>0</v>
      </c>
      <c r="J53" s="58">
        <f>'Balance Sheet Reported'!J53/'Balance Sheet US$'!J$7</f>
        <v>0</v>
      </c>
      <c r="K53" s="58">
        <f>'Balance Sheet Reported'!K53/'Balance Sheet US$'!K$7</f>
        <v>0</v>
      </c>
      <c r="L53" s="58">
        <f>'Balance Sheet Reported'!L53/'Balance Sheet US$'!L$7</f>
        <v>0</v>
      </c>
      <c r="M53" s="58">
        <f>'Balance Sheet Reported'!M53/'Balance Sheet US$'!M$7</f>
        <v>0</v>
      </c>
    </row>
    <row r="54" spans="1:13" x14ac:dyDescent="0.3">
      <c r="A54" s="17" t="s">
        <v>110</v>
      </c>
      <c r="B54" s="58">
        <f>'Balance Sheet Reported'!B54/'Balance Sheet US$'!B$7</f>
        <v>1064.2949999999998</v>
      </c>
      <c r="C54" s="58">
        <f>'Balance Sheet Reported'!C54/'Balance Sheet US$'!C$7</f>
        <v>5445.0644000000002</v>
      </c>
      <c r="D54" s="58">
        <f>'Balance Sheet Reported'!D54/'Balance Sheet US$'!D$7</f>
        <v>4703.0669999999991</v>
      </c>
      <c r="E54" s="58">
        <f>'Balance Sheet Reported'!E54/'Balance Sheet US$'!E$7</f>
        <v>2527.2041100000001</v>
      </c>
      <c r="F54" s="58">
        <f>'Balance Sheet Reported'!F54/'Balance Sheet US$'!F$7</f>
        <v>2073.0681</v>
      </c>
      <c r="G54" s="58">
        <f>'Balance Sheet Reported'!G54/'Balance Sheet US$'!G$7</f>
        <v>1621.2267499999998</v>
      </c>
      <c r="H54" s="58">
        <f>'Balance Sheet Reported'!H54/'Balance Sheet US$'!H$7</f>
        <v>1814.5251396648043</v>
      </c>
      <c r="I54" s="58">
        <f>'Balance Sheet Reported'!I54/'Balance Sheet US$'!I$7</f>
        <v>2061.8884734706867</v>
      </c>
      <c r="J54" s="58">
        <f>'Balance Sheet Reported'!J54/'Balance Sheet US$'!J$7</f>
        <v>1871.0056563578933</v>
      </c>
      <c r="K54" s="58">
        <f>'Balance Sheet Reported'!K54/'Balance Sheet US$'!K$7</f>
        <v>2255.5812163202463</v>
      </c>
      <c r="L54" s="58">
        <f>'Balance Sheet Reported'!L54/'Balance Sheet US$'!L$7</f>
        <v>2263.3435928233616</v>
      </c>
      <c r="M54" s="58">
        <f>'Balance Sheet Reported'!M54/'Balance Sheet US$'!M$7</f>
        <v>2057.9219102936431</v>
      </c>
    </row>
    <row r="55" spans="1:13" x14ac:dyDescent="0.3">
      <c r="A55" s="17" t="s">
        <v>111</v>
      </c>
      <c r="B55" s="58">
        <f>'Balance Sheet Reported'!B55/'Balance Sheet US$'!B$7</f>
        <v>0</v>
      </c>
      <c r="C55" s="58">
        <f>'Balance Sheet Reported'!C55/'Balance Sheet US$'!C$7</f>
        <v>536.38239999999996</v>
      </c>
      <c r="D55" s="58">
        <f>'Balance Sheet Reported'!D55/'Balance Sheet US$'!D$7</f>
        <v>572.71299999999997</v>
      </c>
      <c r="E55" s="58">
        <f>'Balance Sheet Reported'!E55/'Balance Sheet US$'!E$7</f>
        <v>616.98767999999995</v>
      </c>
      <c r="F55" s="58">
        <f>'Balance Sheet Reported'!F55/'Balance Sheet US$'!F$7</f>
        <v>686.70920000000001</v>
      </c>
      <c r="G55" s="58">
        <f>'Balance Sheet Reported'!G55/'Balance Sheet US$'!G$7</f>
        <v>644.15779999999995</v>
      </c>
      <c r="H55" s="58">
        <f>'Balance Sheet Reported'!H55/'Balance Sheet US$'!H$7</f>
        <v>686.77839851024203</v>
      </c>
      <c r="I55" s="58">
        <f>'Balance Sheet Reported'!I55/'Balance Sheet US$'!I$7</f>
        <v>797.86810914008436</v>
      </c>
      <c r="J55" s="58">
        <f>'Balance Sheet Reported'!J55/'Balance Sheet US$'!J$7</f>
        <v>960.11165797399553</v>
      </c>
      <c r="K55" s="58">
        <f>'Balance Sheet Reported'!K55/'Balance Sheet US$'!K$7</f>
        <v>954.58044649730562</v>
      </c>
      <c r="L55" s="58">
        <f>'Balance Sheet Reported'!L55/'Balance Sheet US$'!L$7</f>
        <v>780.72216800540491</v>
      </c>
      <c r="M55" s="58">
        <f>'Balance Sheet Reported'!M55/'Balance Sheet US$'!M$7</f>
        <v>780.89706356889315</v>
      </c>
    </row>
    <row r="56" spans="1:13" x14ac:dyDescent="0.3">
      <c r="A56" s="17" t="s">
        <v>112</v>
      </c>
      <c r="B56" s="60">
        <f>'Balance Sheet Reported'!B56/'Balance Sheet US$'!B$7</f>
        <v>564.80999999999995</v>
      </c>
      <c r="C56" s="60">
        <f>'Balance Sheet Reported'!C56/'Balance Sheet US$'!C$7</f>
        <v>459.05719999999997</v>
      </c>
      <c r="D56" s="60">
        <f>'Balance Sheet Reported'!D56/'Balance Sheet US$'!D$7</f>
        <v>428.28099999999995</v>
      </c>
      <c r="E56" s="60">
        <f>'Balance Sheet Reported'!E56/'Balance Sheet US$'!E$7</f>
        <v>352.69875000000002</v>
      </c>
      <c r="F56" s="60">
        <f>'Balance Sheet Reported'!F56/'Balance Sheet US$'!F$7</f>
        <v>270.02510000000001</v>
      </c>
      <c r="G56" s="60">
        <f>'Balance Sheet Reported'!G56/'Balance Sheet US$'!G$7</f>
        <v>181.25964999999999</v>
      </c>
      <c r="H56" s="60">
        <f>'Balance Sheet Reported'!H56/'Balance Sheet US$'!H$7</f>
        <v>150.46554934823092</v>
      </c>
      <c r="I56" s="60">
        <f>'Balance Sheet Reported'!I56/'Balance Sheet US$'!I$7</f>
        <v>171.82403945589056</v>
      </c>
      <c r="J56" s="60">
        <f>'Balance Sheet Reported'!J56/'Balance Sheet US$'!J$7</f>
        <v>110.92338206126497</v>
      </c>
      <c r="K56" s="60">
        <f>'Balance Sheet Reported'!K56/'Balance Sheet US$'!K$7</f>
        <v>139.33795227097769</v>
      </c>
      <c r="L56" s="60">
        <f>'Balance Sheet Reported'!L56/'Balance Sheet US$'!L$7</f>
        <v>522.48329704977107</v>
      </c>
      <c r="M56" s="60">
        <f>'Balance Sheet Reported'!M56/'Balance Sheet US$'!M$7</f>
        <v>785.73733462407222</v>
      </c>
    </row>
    <row r="57" spans="1:13" x14ac:dyDescent="0.3">
      <c r="A57" s="14" t="s">
        <v>113</v>
      </c>
      <c r="B57" s="22">
        <f t="shared" ref="B57:M57" si="24">SUM(B50:B56)</f>
        <v>1629.1049999999998</v>
      </c>
      <c r="C57" s="22">
        <f t="shared" si="24"/>
        <v>6440.5039999999999</v>
      </c>
      <c r="D57" s="22">
        <f t="shared" si="24"/>
        <v>5704.0609999999988</v>
      </c>
      <c r="E57" s="22">
        <f t="shared" si="24"/>
        <v>3496.8905399999999</v>
      </c>
      <c r="F57" s="22">
        <f t="shared" si="24"/>
        <v>3029.8023999999996</v>
      </c>
      <c r="G57" s="22">
        <f t="shared" si="24"/>
        <v>2446.6441999999997</v>
      </c>
      <c r="H57" s="22">
        <f t="shared" si="24"/>
        <v>2651.7690875232774</v>
      </c>
      <c r="I57" s="22">
        <f t="shared" ref="I57:J57" si="25">SUM(I50:I56)</f>
        <v>3031.5806220666618</v>
      </c>
      <c r="J57" s="22">
        <f t="shared" si="25"/>
        <v>2980.2394769705429</v>
      </c>
      <c r="K57" s="22">
        <f t="shared" ref="K57:L57" si="26">SUM(K50:K56)</f>
        <v>5819.8614318706695</v>
      </c>
      <c r="L57" s="22">
        <f t="shared" si="26"/>
        <v>6649.6509271075747</v>
      </c>
      <c r="M57" s="22">
        <f t="shared" si="24"/>
        <v>6727.1700548564049</v>
      </c>
    </row>
    <row r="58" spans="1:13" ht="15" thickBot="1" x14ac:dyDescent="0.35">
      <c r="A58" s="14" t="s">
        <v>255</v>
      </c>
      <c r="B58" s="24">
        <f t="shared" ref="B58:M58" si="27">B34-B43-B49-B57</f>
        <v>1918.5449999999989</v>
      </c>
      <c r="C58" s="24">
        <f t="shared" si="27"/>
        <v>-3921.0727999999999</v>
      </c>
      <c r="D58" s="24">
        <f t="shared" si="27"/>
        <v>-3352.0259999999976</v>
      </c>
      <c r="E58" s="24">
        <f t="shared" si="27"/>
        <v>-1313.9204099999988</v>
      </c>
      <c r="F58" s="24">
        <f t="shared" si="27"/>
        <v>-977.4390999999996</v>
      </c>
      <c r="G58" s="24">
        <f t="shared" si="27"/>
        <v>28.886000000000422</v>
      </c>
      <c r="H58" s="24">
        <f>H34-H43-H49-H57</f>
        <v>908.00744878957175</v>
      </c>
      <c r="I58" s="24">
        <f t="shared" ref="I58:J58" si="28">I34-I43-I49-I57</f>
        <v>2687.9325431548805</v>
      </c>
      <c r="J58" s="24">
        <f t="shared" si="28"/>
        <v>2407.2577683097038</v>
      </c>
      <c r="K58" s="24">
        <f t="shared" ref="K58:L58" si="29">K34-K43-K49-K57</f>
        <v>3387.2209391839915</v>
      </c>
      <c r="L58" s="24">
        <f t="shared" si="29"/>
        <v>1287.4408828166042</v>
      </c>
      <c r="M58" s="24">
        <f t="shared" si="27"/>
        <v>116.973217166832</v>
      </c>
    </row>
    <row r="59" spans="1:13" ht="15" thickTop="1" x14ac:dyDescent="0.3">
      <c r="A59" s="17" t="s">
        <v>114</v>
      </c>
      <c r="B59" s="58">
        <f>'Balance Sheet Reported'!B59/'Balance Sheet US$'!B$7</f>
        <v>536.66999999999996</v>
      </c>
      <c r="C59" s="58">
        <f>'Balance Sheet Reported'!C59/'Balance Sheet US$'!C$7</f>
        <v>822.19200000000001</v>
      </c>
      <c r="D59" s="58">
        <f>'Balance Sheet Reported'!D59/'Balance Sheet US$'!D$7</f>
        <v>815.43899999999985</v>
      </c>
      <c r="E59" s="58">
        <f>'Balance Sheet Reported'!E59/'Balance Sheet US$'!E$7</f>
        <v>777.81831</v>
      </c>
      <c r="F59" s="58">
        <f>'Balance Sheet Reported'!F59/'Balance Sheet US$'!F$7</f>
        <v>720.35450000000003</v>
      </c>
      <c r="G59" s="58">
        <f>'Balance Sheet Reported'!G59/'Balance Sheet US$'!G$7</f>
        <v>595.77374999999995</v>
      </c>
      <c r="H59" s="58">
        <f>'Balance Sheet Reported'!H59/'Balance Sheet US$'!H$7</f>
        <v>593.66852886405957</v>
      </c>
      <c r="I59" s="58">
        <f>'Balance Sheet Reported'!I59/'Balance Sheet US$'!I$7</f>
        <v>635.58984965396553</v>
      </c>
      <c r="J59" s="58">
        <f>'Balance Sheet Reported'!J59/'Balance Sheet US$'!J$7</f>
        <v>586.20436347608904</v>
      </c>
      <c r="K59" s="58">
        <f>'Balance Sheet Reported'!K59/'Balance Sheet US$'!K$7</f>
        <v>604.31100846805236</v>
      </c>
      <c r="L59" s="58">
        <f>'Balance Sheet Reported'!L59/'Balance Sheet US$'!L$7</f>
        <v>1613.9929434727121</v>
      </c>
      <c r="M59" s="58">
        <f>'Balance Sheet Reported'!M59/'Balance Sheet US$'!M$7</f>
        <v>2205.5501774766053</v>
      </c>
    </row>
    <row r="60" spans="1:13" x14ac:dyDescent="0.3">
      <c r="A60" s="17" t="s">
        <v>115</v>
      </c>
      <c r="B60" s="58">
        <f>'Balance Sheet Reported'!B60/'Balance Sheet US$'!B$7</f>
        <v>0</v>
      </c>
      <c r="C60" s="58">
        <f>'Balance Sheet Reported'!C60/'Balance Sheet US$'!C$7</f>
        <v>0</v>
      </c>
      <c r="D60" s="58">
        <f>'Balance Sheet Reported'!D60/'Balance Sheet US$'!D$7</f>
        <v>0</v>
      </c>
      <c r="E60" s="58">
        <f>'Balance Sheet Reported'!E60/'Balance Sheet US$'!E$7</f>
        <v>0</v>
      </c>
      <c r="F60" s="58">
        <f>'Balance Sheet Reported'!F60/'Balance Sheet US$'!F$7</f>
        <v>0</v>
      </c>
      <c r="G60" s="58">
        <f>'Balance Sheet Reported'!G60/'Balance Sheet US$'!G$7</f>
        <v>0</v>
      </c>
      <c r="H60" s="58">
        <f>'Balance Sheet Reported'!H60/'Balance Sheet US$'!H$7</f>
        <v>0</v>
      </c>
      <c r="I60" s="58">
        <f>'Balance Sheet Reported'!I60/'Balance Sheet US$'!I$7</f>
        <v>0</v>
      </c>
      <c r="J60" s="58">
        <f>'Balance Sheet Reported'!J60/'Balance Sheet US$'!J$7</f>
        <v>0</v>
      </c>
      <c r="K60" s="58">
        <f>'Balance Sheet Reported'!K60/'Balance Sheet US$'!K$7</f>
        <v>0</v>
      </c>
      <c r="L60" s="58">
        <f>'Balance Sheet Reported'!L60/'Balance Sheet US$'!L$7</f>
        <v>0</v>
      </c>
      <c r="M60" s="58">
        <f>'Balance Sheet Reported'!M60/'Balance Sheet US$'!M$7</f>
        <v>0</v>
      </c>
    </row>
    <row r="61" spans="1:13" x14ac:dyDescent="0.3">
      <c r="A61" s="17" t="s">
        <v>116</v>
      </c>
      <c r="B61" s="58">
        <f>'Balance Sheet Reported'!B61/'Balance Sheet US$'!B$7</f>
        <v>169.84499999999997</v>
      </c>
      <c r="C61" s="58">
        <f>'Balance Sheet Reported'!C61/'Balance Sheet US$'!C$7</f>
        <v>77.325199999999995</v>
      </c>
      <c r="D61" s="58">
        <f>'Balance Sheet Reported'!D61/'Balance Sheet US$'!D$7</f>
        <v>64.191999999999993</v>
      </c>
      <c r="E61" s="58">
        <f>'Balance Sheet Reported'!E61/'Balance Sheet US$'!E$7</f>
        <v>59.253389999999996</v>
      </c>
      <c r="F61" s="58">
        <f>'Balance Sheet Reported'!F61/'Balance Sheet US$'!F$7</f>
        <v>58.663600000000002</v>
      </c>
      <c r="G61" s="58">
        <f>'Balance Sheet Reported'!G61/'Balance Sheet US$'!G$7</f>
        <v>19.498049999999999</v>
      </c>
      <c r="H61" s="58">
        <f>'Balance Sheet Reported'!H61/'Balance Sheet US$'!H$7</f>
        <v>0</v>
      </c>
      <c r="I61" s="58">
        <f>'Balance Sheet Reported'!I61/'Balance Sheet US$'!I$7</f>
        <v>0</v>
      </c>
      <c r="J61" s="58">
        <f>'Balance Sheet Reported'!J61/'Balance Sheet US$'!J$7</f>
        <v>0</v>
      </c>
      <c r="K61" s="58">
        <f>'Balance Sheet Reported'!K61/'Balance Sheet US$'!K$7</f>
        <v>0</v>
      </c>
      <c r="L61" s="58">
        <f>'Balance Sheet Reported'!L61/'Balance Sheet US$'!L$7</f>
        <v>0</v>
      </c>
      <c r="M61" s="58">
        <f>'Balance Sheet Reported'!M61/'Balance Sheet US$'!M$7</f>
        <v>0</v>
      </c>
    </row>
    <row r="62" spans="1:13" x14ac:dyDescent="0.3">
      <c r="A62" s="17" t="s">
        <v>117</v>
      </c>
      <c r="B62" s="58">
        <f>'Balance Sheet Reported'!B62/'Balance Sheet US$'!B$7</f>
        <v>1835.1299999999997</v>
      </c>
      <c r="C62" s="58">
        <f>'Balance Sheet Reported'!C62/'Balance Sheet US$'!C$7</f>
        <v>56.770399999999995</v>
      </c>
      <c r="D62" s="58">
        <f>'Balance Sheet Reported'!D62/'Balance Sheet US$'!D$7</f>
        <v>62.185999999999993</v>
      </c>
      <c r="E62" s="58">
        <f>'Balance Sheet Reported'!E62/'Balance Sheet US$'!E$7</f>
        <v>75.242400000000004</v>
      </c>
      <c r="F62" s="58">
        <f>'Balance Sheet Reported'!F62/'Balance Sheet US$'!F$7</f>
        <v>66.427899999999994</v>
      </c>
      <c r="G62" s="58">
        <f>'Balance Sheet Reported'!G62/'Balance Sheet US$'!G$7</f>
        <v>54.883399999999995</v>
      </c>
      <c r="H62" s="58">
        <f>'Balance Sheet Reported'!H62/'Balance Sheet US$'!H$7</f>
        <v>61.824953445065177</v>
      </c>
      <c r="I62" s="58">
        <f>'Balance Sheet Reported'!I62/'Balance Sheet US$'!I$7</f>
        <v>54.888234826187258</v>
      </c>
      <c r="J62" s="58">
        <f>'Balance Sheet Reported'!J62/'Balance Sheet US$'!J$7</f>
        <v>55.094395063542201</v>
      </c>
      <c r="K62" s="58">
        <f>'Balance Sheet Reported'!K62/'Balance Sheet US$'!K$7</f>
        <v>63.895304080061592</v>
      </c>
      <c r="L62" s="58">
        <f>'Balance Sheet Reported'!L62/'Balance Sheet US$'!L$7</f>
        <v>73.568050446663165</v>
      </c>
      <c r="M62" s="58">
        <f>'Balance Sheet Reported'!M62/'Balance Sheet US$'!M$7</f>
        <v>82.28460793804453</v>
      </c>
    </row>
    <row r="63" spans="1:13" x14ac:dyDescent="0.3">
      <c r="A63" s="17" t="s">
        <v>118</v>
      </c>
      <c r="B63" s="58">
        <f>'Balance Sheet Reported'!B63/'Balance Sheet US$'!B$7</f>
        <v>-623.09999999999991</v>
      </c>
      <c r="C63" s="58">
        <f>'Balance Sheet Reported'!C63/'Balance Sheet US$'!C$7</f>
        <v>-4877.3603999999996</v>
      </c>
      <c r="D63" s="58">
        <f>'Balance Sheet Reported'!D63/'Balance Sheet US$'!D$7</f>
        <v>-4293.8429999999998</v>
      </c>
      <c r="E63" s="58">
        <f>'Balance Sheet Reported'!E63/'Balance Sheet US$'!E$7</f>
        <v>-2226.2345099999998</v>
      </c>
      <c r="F63" s="58">
        <f>'Balance Sheet Reported'!F63/'Balance Sheet US$'!F$7</f>
        <v>-1822.8851</v>
      </c>
      <c r="G63" s="58">
        <f>'Balance Sheet Reported'!G63/'Balance Sheet US$'!G$7</f>
        <v>-633.32554999999991</v>
      </c>
      <c r="H63" s="58">
        <f>'Balance Sheet Reported'!H63/'Balance Sheet US$'!H$7</f>
        <v>250.27932960893855</v>
      </c>
      <c r="I63" s="58">
        <f>'Balance Sheet Reported'!I63/'Balance Sheet US$'!I$7</f>
        <v>1997.4544586747277</v>
      </c>
      <c r="J63" s="58">
        <f>'Balance Sheet Reported'!J63/'Balance Sheet US$'!J$7</f>
        <v>1765.9590097700727</v>
      </c>
      <c r="K63" s="58">
        <f>'Balance Sheet Reported'!K63/'Balance Sheet US$'!K$7</f>
        <v>2699.7690531177832</v>
      </c>
      <c r="L63" s="58">
        <f>'Balance Sheet Reported'!L63/'Balance Sheet US$'!L$7</f>
        <v>-370.84302980256734</v>
      </c>
      <c r="M63" s="58">
        <f>'Balance Sheet Reported'!M63/'Balance Sheet US$'!M$7</f>
        <v>-2140.2065182316874</v>
      </c>
    </row>
    <row r="64" spans="1:13" x14ac:dyDescent="0.3">
      <c r="A64" s="17" t="s">
        <v>119</v>
      </c>
      <c r="B64" s="58">
        <f>'Balance Sheet Reported'!B64/'Balance Sheet US$'!B$7</f>
        <v>0</v>
      </c>
      <c r="C64" s="58">
        <f>'Balance Sheet Reported'!C64/'Balance Sheet US$'!C$7</f>
        <v>0</v>
      </c>
      <c r="D64" s="58">
        <f>'Balance Sheet Reported'!D64/'Balance Sheet US$'!D$7</f>
        <v>0</v>
      </c>
      <c r="E64" s="58">
        <f>'Balance Sheet Reported'!E64/'Balance Sheet US$'!E$7</f>
        <v>0</v>
      </c>
      <c r="F64" s="58">
        <f>'Balance Sheet Reported'!F64/'Balance Sheet US$'!F$7</f>
        <v>0</v>
      </c>
      <c r="G64" s="58">
        <f>'Balance Sheet Reported'!G64/'Balance Sheet US$'!G$7</f>
        <v>-7.943649999999999</v>
      </c>
      <c r="H64" s="58">
        <f>'Balance Sheet Reported'!H64/'Balance Sheet US$'!H$7</f>
        <v>2.2346368715083798</v>
      </c>
      <c r="I64" s="58">
        <f>'Balance Sheet Reported'!I64/'Balance Sheet US$'!I$7</f>
        <v>0</v>
      </c>
      <c r="J64" s="58">
        <f>'Balance Sheet Reported'!J64/'Balance Sheet US$'!J$7</f>
        <v>0</v>
      </c>
      <c r="K64" s="58">
        <f>'Balance Sheet Reported'!K64/'Balance Sheet US$'!K$7</f>
        <v>19.24557351809084</v>
      </c>
      <c r="L64" s="58">
        <f>'Balance Sheet Reported'!L64/'Balance Sheet US$'!L$7</f>
        <v>-29.277081300202685</v>
      </c>
      <c r="M64" s="58">
        <f>'Balance Sheet Reported'!M64/'Balance Sheet US$'!M$7</f>
        <v>-30.655050016134236</v>
      </c>
    </row>
    <row r="65" spans="1:15" x14ac:dyDescent="0.3">
      <c r="A65" s="17" t="s">
        <v>120</v>
      </c>
      <c r="B65" s="58">
        <f>'Balance Sheet Reported'!B65/'Balance Sheet US$'!B$7</f>
        <v>0</v>
      </c>
      <c r="C65" s="58">
        <f>'Balance Sheet Reported'!C65/'Balance Sheet US$'!C$7</f>
        <v>0</v>
      </c>
      <c r="D65" s="58">
        <f>'Balance Sheet Reported'!D65/'Balance Sheet US$'!D$7</f>
        <v>0</v>
      </c>
      <c r="E65" s="58">
        <f>'Balance Sheet Reported'!E65/'Balance Sheet US$'!E$7</f>
        <v>0</v>
      </c>
      <c r="F65" s="58">
        <f>'Balance Sheet Reported'!F65/'Balance Sheet US$'!F$7</f>
        <v>0</v>
      </c>
      <c r="G65" s="58">
        <f>'Balance Sheet Reported'!G65/'Balance Sheet US$'!G$7</f>
        <v>0</v>
      </c>
      <c r="H65" s="58">
        <f>'Balance Sheet Reported'!H65/'Balance Sheet US$'!H$7</f>
        <v>0</v>
      </c>
      <c r="I65" s="58">
        <f>'Balance Sheet Reported'!I65/'Balance Sheet US$'!I$7</f>
        <v>0</v>
      </c>
      <c r="J65" s="58">
        <f>'Balance Sheet Reported'!J65/'Balance Sheet US$'!J$7</f>
        <v>0</v>
      </c>
      <c r="K65" s="58">
        <f>'Balance Sheet Reported'!K65/'Balance Sheet US$'!K$7</f>
        <v>0</v>
      </c>
      <c r="L65" s="58">
        <f>'Balance Sheet Reported'!L65/'Balance Sheet US$'!L$7</f>
        <v>0</v>
      </c>
      <c r="M65" s="58">
        <f>'Balance Sheet Reported'!M65/'Balance Sheet US$'!M$7</f>
        <v>0</v>
      </c>
      <c r="O65" s="285"/>
    </row>
    <row r="66" spans="1:15" ht="15" thickBot="1" x14ac:dyDescent="0.35">
      <c r="A66" s="14" t="s">
        <v>121</v>
      </c>
      <c r="B66" s="24">
        <f t="shared" ref="B66:M66" si="30">SUM(B59:B65)</f>
        <v>1918.5449999999996</v>
      </c>
      <c r="C66" s="24">
        <f t="shared" si="30"/>
        <v>-3921.0727999999995</v>
      </c>
      <c r="D66" s="24">
        <f t="shared" si="30"/>
        <v>-3352.0259999999998</v>
      </c>
      <c r="E66" s="24">
        <f t="shared" si="30"/>
        <v>-1313.9204099999997</v>
      </c>
      <c r="F66" s="24">
        <f t="shared" si="30"/>
        <v>-977.43909999999994</v>
      </c>
      <c r="G66" s="24">
        <f t="shared" si="30"/>
        <v>28.886000000000017</v>
      </c>
      <c r="H66" s="24">
        <f t="shared" si="30"/>
        <v>908.00744878957175</v>
      </c>
      <c r="I66" s="24">
        <f t="shared" ref="I66:J66" si="31">SUM(I59:I65)</f>
        <v>2687.9325431548805</v>
      </c>
      <c r="J66" s="24">
        <f t="shared" si="31"/>
        <v>2407.2577683097038</v>
      </c>
      <c r="K66" s="24">
        <f t="shared" ref="K66:L66" si="32">SUM(K59:K65)</f>
        <v>3387.2209391839879</v>
      </c>
      <c r="L66" s="24">
        <f t="shared" si="32"/>
        <v>1287.4408828166052</v>
      </c>
      <c r="M66" s="24">
        <f t="shared" si="30"/>
        <v>116.97321716682841</v>
      </c>
    </row>
    <row r="67" spans="1:15" ht="15" thickTop="1" x14ac:dyDescent="0.3">
      <c r="A67" s="14"/>
      <c r="B67" s="51"/>
      <c r="C67" s="51"/>
      <c r="D67" s="51"/>
      <c r="E67" s="51"/>
      <c r="F67" s="51"/>
      <c r="G67" s="51"/>
      <c r="H67" s="51"/>
      <c r="I67" s="51"/>
      <c r="J67" s="51"/>
      <c r="K67" s="51"/>
      <c r="L67" s="51"/>
      <c r="M67" s="51"/>
    </row>
    <row r="68" spans="1:15" ht="15" thickBot="1" x14ac:dyDescent="0.35">
      <c r="A68" s="14" t="s">
        <v>469</v>
      </c>
      <c r="B68" s="24">
        <f>B34+B73</f>
        <v>12947.742626894065</v>
      </c>
      <c r="C68" s="24">
        <f t="shared" ref="C68:M68" si="33">C34+C73</f>
        <v>11800.269938141035</v>
      </c>
      <c r="D68" s="24">
        <f t="shared" si="33"/>
        <v>11440.027024928975</v>
      </c>
      <c r="E68" s="24">
        <f t="shared" si="33"/>
        <v>11068.403873742474</v>
      </c>
      <c r="F68" s="24">
        <f t="shared" si="33"/>
        <v>11291.3433311425</v>
      </c>
      <c r="G68" s="24">
        <f t="shared" si="33"/>
        <v>11413.712814016186</v>
      </c>
      <c r="H68" s="24">
        <f t="shared" si="33"/>
        <v>13698.413256736549</v>
      </c>
      <c r="I68" s="24">
        <f t="shared" ref="I68:J68" si="34">I34+I73</f>
        <v>16790.800071535858</v>
      </c>
      <c r="J68" s="24">
        <f t="shared" si="34"/>
        <v>16075.075295673254</v>
      </c>
      <c r="K68" s="24">
        <f t="shared" ref="K68:L68" si="35">K34+K73</f>
        <v>21369.515011547348</v>
      </c>
      <c r="L68" s="24">
        <f t="shared" si="35"/>
        <v>21704.826964942571</v>
      </c>
      <c r="M68" s="24">
        <f t="shared" si="33"/>
        <v>24443.368828654406</v>
      </c>
    </row>
    <row r="69" spans="1:15" ht="15" thickTop="1" x14ac:dyDescent="0.3">
      <c r="A69" s="8" t="s">
        <v>122</v>
      </c>
      <c r="B69" s="10"/>
      <c r="C69" s="10"/>
      <c r="D69" s="10"/>
      <c r="E69" s="10"/>
      <c r="F69" s="10"/>
      <c r="G69" s="10"/>
      <c r="H69" s="10"/>
      <c r="I69" s="10"/>
      <c r="J69" s="10"/>
      <c r="K69" s="10"/>
      <c r="L69" s="10"/>
      <c r="M69" s="10"/>
    </row>
    <row r="70" spans="1:15" x14ac:dyDescent="0.3">
      <c r="A70" s="17" t="s">
        <v>123</v>
      </c>
      <c r="B70" s="21">
        <f t="shared" ref="B70:M70" si="36">B35+B36+B45+B46+B47</f>
        <v>4479.2849999999989</v>
      </c>
      <c r="C70" s="21">
        <f t="shared" si="36"/>
        <v>4238.2039999999997</v>
      </c>
      <c r="D70" s="21">
        <f t="shared" si="36"/>
        <v>3966.8649999999993</v>
      </c>
      <c r="E70" s="21">
        <f t="shared" si="36"/>
        <v>4075.3164900000002</v>
      </c>
      <c r="F70" s="21">
        <f t="shared" si="36"/>
        <v>4499.8432000000003</v>
      </c>
      <c r="G70" s="21">
        <f t="shared" si="36"/>
        <v>4617.4270999999999</v>
      </c>
      <c r="H70" s="21">
        <f t="shared" si="36"/>
        <v>4929.6089385474861</v>
      </c>
      <c r="I70" s="21">
        <f t="shared" ref="I70:J70" si="37">I35+I36+I45+I46+I47</f>
        <v>4867.5523029194183</v>
      </c>
      <c r="J70" s="21">
        <f t="shared" si="37"/>
        <v>7287.8865790053624</v>
      </c>
      <c r="K70" s="21">
        <f t="shared" ref="K70:L70" si="38">K35+K36+K45+K46+K47</f>
        <v>7114.7036181678213</v>
      </c>
      <c r="L70" s="21">
        <f t="shared" si="38"/>
        <v>9750.7694617521192</v>
      </c>
      <c r="M70" s="21">
        <f t="shared" si="36"/>
        <v>13457.566957082929</v>
      </c>
    </row>
    <row r="71" spans="1:15" x14ac:dyDescent="0.3">
      <c r="A71" s="17" t="s">
        <v>124</v>
      </c>
      <c r="B71" s="21">
        <f t="shared" ref="B71:M71" si="39">B25+B26</f>
        <v>2202.9599999999996</v>
      </c>
      <c r="C71" s="21">
        <f t="shared" si="39"/>
        <v>2054.5011999999997</v>
      </c>
      <c r="D71" s="21">
        <f t="shared" si="39"/>
        <v>2032.0779999999997</v>
      </c>
      <c r="E71" s="21">
        <f t="shared" si="39"/>
        <v>2076.6902399999999</v>
      </c>
      <c r="F71" s="21">
        <f t="shared" si="39"/>
        <v>1962.6424999999999</v>
      </c>
      <c r="G71" s="21">
        <f t="shared" si="39"/>
        <v>1929.5847999999999</v>
      </c>
      <c r="H71" s="21">
        <f t="shared" si="39"/>
        <v>2218.9944134078214</v>
      </c>
      <c r="I71" s="21">
        <f t="shared" ref="I71:J71" si="40">I25+I26</f>
        <v>3026.0122504176279</v>
      </c>
      <c r="J71" s="21">
        <f t="shared" si="40"/>
        <v>3457.7242341879087</v>
      </c>
      <c r="K71" s="21">
        <f t="shared" ref="K71:L71" si="41">K25+K26</f>
        <v>4533.4872979214779</v>
      </c>
      <c r="L71" s="21">
        <f t="shared" si="41"/>
        <v>5630.9586367389838</v>
      </c>
      <c r="M71" s="21">
        <f t="shared" si="39"/>
        <v>7020.0064536947402</v>
      </c>
    </row>
    <row r="72" spans="1:15" x14ac:dyDescent="0.3">
      <c r="A72" s="17" t="s">
        <v>125</v>
      </c>
      <c r="B72" s="21">
        <f t="shared" ref="B72:M72" si="42">B70-B71</f>
        <v>2276.3249999999994</v>
      </c>
      <c r="C72" s="21">
        <f t="shared" si="42"/>
        <v>2183.7028</v>
      </c>
      <c r="D72" s="21">
        <f t="shared" si="42"/>
        <v>1934.7869999999996</v>
      </c>
      <c r="E72" s="21">
        <f t="shared" si="42"/>
        <v>1998.6262500000003</v>
      </c>
      <c r="F72" s="21">
        <f t="shared" si="42"/>
        <v>2537.2007000000003</v>
      </c>
      <c r="G72" s="21">
        <f t="shared" si="42"/>
        <v>2687.8423000000003</v>
      </c>
      <c r="H72" s="21">
        <f t="shared" si="42"/>
        <v>2710.6145251396647</v>
      </c>
      <c r="I72" s="21">
        <f t="shared" ref="I72:J72" si="43">I70-I71</f>
        <v>1841.5400525017903</v>
      </c>
      <c r="J72" s="21">
        <f t="shared" si="43"/>
        <v>3830.1623448174537</v>
      </c>
      <c r="K72" s="21">
        <f t="shared" ref="K72:L72" si="44">K70-K71</f>
        <v>2581.2163202463435</v>
      </c>
      <c r="L72" s="21">
        <f t="shared" si="44"/>
        <v>4119.8108250131354</v>
      </c>
      <c r="M72" s="21">
        <f t="shared" si="42"/>
        <v>6437.5605033881884</v>
      </c>
    </row>
    <row r="73" spans="1:15" x14ac:dyDescent="0.3">
      <c r="A73" s="17" t="s">
        <v>126</v>
      </c>
      <c r="B73" s="21">
        <f>-'Annual Income Statement US$'!B27*7</f>
        <v>2351.0226268940683</v>
      </c>
      <c r="C73" s="21">
        <f>-'Annual Income Statement US$'!C27*7</f>
        <v>2371.4895381410356</v>
      </c>
      <c r="D73" s="21">
        <f>-'Annual Income Statement US$'!D27*7</f>
        <v>2352.8470249289744</v>
      </c>
      <c r="E73" s="21">
        <f>-'Annual Income Statement US$'!E27*7</f>
        <v>2161.5847737424742</v>
      </c>
      <c r="F73" s="21">
        <f>-'Annual Income Statement US$'!F27*7</f>
        <v>2105.3137311425003</v>
      </c>
      <c r="G73" s="21">
        <f>-'Annual Income Statement US$'!G27*7</f>
        <v>1934.0497640161861</v>
      </c>
      <c r="H73" s="21">
        <f>-'Annual Income Statement US$'!H27*7</f>
        <v>2440.3126980773295</v>
      </c>
      <c r="I73" s="21">
        <f>-'Annual Income Statement US$'!I27*7</f>
        <v>2712.3655794508977</v>
      </c>
      <c r="J73" s="21">
        <f>-'Annual Income Statement US$'!J27*7</f>
        <v>0</v>
      </c>
      <c r="K73" s="21">
        <f>-'Annual Income Statement US$'!K27*7</f>
        <v>0</v>
      </c>
      <c r="L73" s="21">
        <f>-'Annual Income Statement US$'!L27*7</f>
        <v>0</v>
      </c>
      <c r="M73" s="21">
        <f>-'Annual Income Statement US$'!M27*7</f>
        <v>0</v>
      </c>
    </row>
    <row r="74" spans="1:15" x14ac:dyDescent="0.3">
      <c r="A74" s="17" t="s">
        <v>127</v>
      </c>
      <c r="B74" s="21">
        <v>0</v>
      </c>
      <c r="C74" s="21">
        <v>0</v>
      </c>
      <c r="D74" s="21">
        <v>0</v>
      </c>
      <c r="E74" s="21">
        <v>0</v>
      </c>
      <c r="F74" s="21">
        <v>0</v>
      </c>
      <c r="G74" s="21">
        <v>0</v>
      </c>
      <c r="H74" s="21">
        <v>0</v>
      </c>
      <c r="I74" s="21">
        <v>0</v>
      </c>
      <c r="J74" s="21">
        <v>0</v>
      </c>
      <c r="K74" s="21">
        <v>0</v>
      </c>
      <c r="L74" s="21">
        <v>0</v>
      </c>
      <c r="M74" s="21">
        <v>0</v>
      </c>
    </row>
    <row r="75" spans="1:15" x14ac:dyDescent="0.3">
      <c r="A75" s="14" t="s">
        <v>128</v>
      </c>
      <c r="B75" s="22">
        <f t="shared" ref="B75:M75" si="45">B72+B73</f>
        <v>4627.3476268940676</v>
      </c>
      <c r="C75" s="22">
        <f t="shared" si="45"/>
        <v>4555.1923381410361</v>
      </c>
      <c r="D75" s="22">
        <f t="shared" si="45"/>
        <v>4287.6340249289742</v>
      </c>
      <c r="E75" s="22">
        <f t="shared" si="45"/>
        <v>4160.2110237424749</v>
      </c>
      <c r="F75" s="22">
        <f t="shared" si="45"/>
        <v>4642.5144311425011</v>
      </c>
      <c r="G75" s="22">
        <f t="shared" si="45"/>
        <v>4621.8920640161869</v>
      </c>
      <c r="H75" s="22">
        <f t="shared" si="45"/>
        <v>5150.9272232169942</v>
      </c>
      <c r="I75" s="22">
        <f t="shared" ref="I75:J75" si="46">I72+I73</f>
        <v>4553.9056319526881</v>
      </c>
      <c r="J75" s="22">
        <f t="shared" si="46"/>
        <v>3830.1623448174537</v>
      </c>
      <c r="K75" s="22">
        <f t="shared" ref="K75:L75" si="47">K72+K73</f>
        <v>2581.2163202463435</v>
      </c>
      <c r="L75" s="22">
        <f t="shared" si="47"/>
        <v>4119.8108250131354</v>
      </c>
      <c r="M75" s="22">
        <f t="shared" si="45"/>
        <v>6437.5605033881884</v>
      </c>
    </row>
    <row r="76" spans="1:15" x14ac:dyDescent="0.3">
      <c r="A76" s="17" t="s">
        <v>129</v>
      </c>
      <c r="B76" s="21"/>
      <c r="C76" s="21"/>
      <c r="D76" s="21"/>
      <c r="E76" s="21"/>
      <c r="F76" s="21"/>
      <c r="G76" s="21"/>
      <c r="H76" s="21"/>
      <c r="I76" s="21"/>
      <c r="J76" s="21"/>
      <c r="K76" s="21"/>
      <c r="L76" s="21"/>
      <c r="M76" s="21"/>
    </row>
    <row r="77" spans="1:15" x14ac:dyDescent="0.3">
      <c r="A77" s="17" t="s">
        <v>130</v>
      </c>
      <c r="B77" s="2"/>
      <c r="C77" s="2"/>
      <c r="D77" s="2"/>
      <c r="E77" s="2"/>
      <c r="F77" s="2"/>
      <c r="G77" s="2"/>
      <c r="H77" s="2"/>
      <c r="I77" s="2"/>
      <c r="J77" s="2"/>
      <c r="K77" s="2"/>
      <c r="L77" s="2"/>
      <c r="M77" s="2"/>
    </row>
    <row r="78" spans="1:15" x14ac:dyDescent="0.3">
      <c r="A78" s="17" t="s">
        <v>131</v>
      </c>
      <c r="B78" s="2"/>
      <c r="C78" s="2"/>
      <c r="D78" s="2"/>
      <c r="E78" s="2"/>
      <c r="F78" s="2"/>
      <c r="G78" s="2"/>
      <c r="H78" s="2"/>
      <c r="I78" s="2"/>
      <c r="J78" s="2"/>
      <c r="K78" s="2"/>
      <c r="L78" s="2"/>
      <c r="M78" s="2"/>
    </row>
    <row r="79" spans="1:15" x14ac:dyDescent="0.3">
      <c r="A79" s="17" t="s">
        <v>132</v>
      </c>
      <c r="B79" s="2">
        <f>IFERROR(B36/B70,"")</f>
        <v>0.11330491361902625</v>
      </c>
      <c r="C79" s="2">
        <f t="shared" ref="C79:M79" si="48">IFERROR(C36/C70,"")</f>
        <v>9.7921478060046196E-2</v>
      </c>
      <c r="D79" s="2">
        <f t="shared" si="48"/>
        <v>0.12793931731984828</v>
      </c>
      <c r="E79" s="2">
        <f t="shared" si="48"/>
        <v>8.6314331871682429E-2</v>
      </c>
      <c r="F79" s="2">
        <f t="shared" si="48"/>
        <v>9.2791411042944791E-2</v>
      </c>
      <c r="G79" s="2">
        <f t="shared" si="48"/>
        <v>8.1951829840475443E-2</v>
      </c>
      <c r="H79" s="2">
        <f t="shared" si="48"/>
        <v>0.10682985796313085</v>
      </c>
      <c r="I79" s="2">
        <f t="shared" ref="I79:J79" si="49">IFERROR(I36/I70,"")</f>
        <v>0.10965844092171924</v>
      </c>
      <c r="J79" s="2">
        <f t="shared" si="49"/>
        <v>6.450962604576152E-2</v>
      </c>
      <c r="K79" s="2">
        <f t="shared" ref="K79:L79" si="50">IFERROR(K36/K70,"")</f>
        <v>6.8275265094135479E-2</v>
      </c>
      <c r="L79" s="2">
        <f t="shared" si="50"/>
        <v>4.1881592116406192E-2</v>
      </c>
      <c r="M79" s="2">
        <f t="shared" si="48"/>
        <v>2.9792590816448871E-2</v>
      </c>
    </row>
    <row r="80" spans="1:15" x14ac:dyDescent="0.3">
      <c r="A80" s="8" t="s">
        <v>133</v>
      </c>
      <c r="B80" s="10"/>
      <c r="C80" s="10"/>
      <c r="D80" s="10"/>
      <c r="E80" s="10"/>
      <c r="F80" s="10"/>
      <c r="G80" s="10"/>
      <c r="H80" s="10"/>
      <c r="I80" s="10"/>
      <c r="J80" s="10"/>
      <c r="K80" s="10"/>
      <c r="L80" s="10"/>
      <c r="M80" s="10"/>
    </row>
    <row r="81" spans="1:13" x14ac:dyDescent="0.3">
      <c r="A81" s="17" t="s">
        <v>134</v>
      </c>
      <c r="B81" s="21">
        <f>B25+B26</f>
        <v>2202.9599999999996</v>
      </c>
      <c r="C81" s="21">
        <f t="shared" ref="C81:H81" si="51">C25+C26</f>
        <v>2054.5011999999997</v>
      </c>
      <c r="D81" s="21">
        <f t="shared" si="51"/>
        <v>2032.0779999999997</v>
      </c>
      <c r="E81" s="21">
        <f t="shared" si="51"/>
        <v>2076.6902399999999</v>
      </c>
      <c r="F81" s="21">
        <f t="shared" si="51"/>
        <v>1962.6424999999999</v>
      </c>
      <c r="G81" s="21">
        <f t="shared" si="51"/>
        <v>1929.5847999999999</v>
      </c>
      <c r="H81" s="21">
        <f t="shared" si="51"/>
        <v>2218.9944134078214</v>
      </c>
      <c r="I81" s="21">
        <f t="shared" ref="I81:J81" si="52">I25+I26</f>
        <v>3026.0122504176279</v>
      </c>
      <c r="J81" s="21">
        <f t="shared" si="52"/>
        <v>3457.7242341879087</v>
      </c>
      <c r="K81" s="21">
        <f t="shared" ref="K81:L81" si="53">K25+K26</f>
        <v>4533.4872979214779</v>
      </c>
      <c r="L81" s="21">
        <f t="shared" si="53"/>
        <v>5630.9586367389838</v>
      </c>
      <c r="M81" s="21">
        <f>M25+M26</f>
        <v>7020.0064536947402</v>
      </c>
    </row>
    <row r="82" spans="1:13" x14ac:dyDescent="0.3">
      <c r="A82" s="17" t="s">
        <v>135</v>
      </c>
      <c r="B82" s="21">
        <f>B35+B36</f>
        <v>507.52499999999992</v>
      </c>
      <c r="C82" s="21">
        <f t="shared" ref="C82:H82" si="54">C35+C36</f>
        <v>415.01119999999997</v>
      </c>
      <c r="D82" s="21">
        <f t="shared" si="54"/>
        <v>507.51799999999992</v>
      </c>
      <c r="E82" s="21">
        <f t="shared" si="54"/>
        <v>351.75821999999999</v>
      </c>
      <c r="F82" s="21">
        <f t="shared" si="54"/>
        <v>417.54680000000002</v>
      </c>
      <c r="G82" s="21">
        <f t="shared" si="54"/>
        <v>378.40659999999997</v>
      </c>
      <c r="H82" s="21">
        <f t="shared" si="54"/>
        <v>526.6294227188082</v>
      </c>
      <c r="I82" s="21">
        <f t="shared" ref="I82:J82" si="55">I35+I36</f>
        <v>533.76819664306743</v>
      </c>
      <c r="J82" s="21">
        <f t="shared" si="55"/>
        <v>769.85234702122966</v>
      </c>
      <c r="K82" s="21">
        <f t="shared" ref="K82:L82" si="56">K35+K36</f>
        <v>937.64434180138574</v>
      </c>
      <c r="L82" s="21">
        <f t="shared" si="56"/>
        <v>1342.2415734554461</v>
      </c>
      <c r="M82" s="21">
        <f>M35+M36</f>
        <v>818.81252016779604</v>
      </c>
    </row>
    <row r="83" spans="1:13" x14ac:dyDescent="0.3">
      <c r="A83" s="17" t="s">
        <v>136</v>
      </c>
      <c r="B83" s="21">
        <f>B29</f>
        <v>0</v>
      </c>
      <c r="C83" s="21">
        <f t="shared" ref="C83:H83" si="57">C29</f>
        <v>0</v>
      </c>
      <c r="D83" s="21">
        <f t="shared" si="57"/>
        <v>0</v>
      </c>
      <c r="E83" s="21">
        <f t="shared" si="57"/>
        <v>0</v>
      </c>
      <c r="F83" s="21">
        <f t="shared" si="57"/>
        <v>0</v>
      </c>
      <c r="G83" s="21">
        <f t="shared" si="57"/>
        <v>0</v>
      </c>
      <c r="H83" s="21">
        <f t="shared" si="57"/>
        <v>0</v>
      </c>
      <c r="I83" s="21">
        <f t="shared" ref="I83:J83" si="58">I29</f>
        <v>0</v>
      </c>
      <c r="J83" s="21">
        <f t="shared" si="58"/>
        <v>0</v>
      </c>
      <c r="K83" s="21">
        <f t="shared" ref="K83:L83" si="59">K29</f>
        <v>0</v>
      </c>
      <c r="L83" s="21">
        <f t="shared" si="59"/>
        <v>0</v>
      </c>
      <c r="M83" s="21">
        <f>M29</f>
        <v>0</v>
      </c>
    </row>
    <row r="84" spans="1:13" x14ac:dyDescent="0.3">
      <c r="A84" s="17" t="s">
        <v>137</v>
      </c>
      <c r="B84" s="21">
        <f>B37</f>
        <v>0</v>
      </c>
      <c r="C84" s="21">
        <f t="shared" ref="C84:H84" si="60">C37</f>
        <v>0</v>
      </c>
      <c r="D84" s="21">
        <f t="shared" si="60"/>
        <v>0</v>
      </c>
      <c r="E84" s="21">
        <f t="shared" si="60"/>
        <v>0</v>
      </c>
      <c r="F84" s="21">
        <f t="shared" si="60"/>
        <v>0</v>
      </c>
      <c r="G84" s="21">
        <f t="shared" si="60"/>
        <v>0</v>
      </c>
      <c r="H84" s="21">
        <f t="shared" si="60"/>
        <v>0</v>
      </c>
      <c r="I84" s="21">
        <f t="shared" ref="I84:J84" si="61">I37</f>
        <v>0</v>
      </c>
      <c r="J84" s="21">
        <f t="shared" si="61"/>
        <v>0</v>
      </c>
      <c r="K84" s="21">
        <f t="shared" ref="K84:L84" si="62">K37</f>
        <v>0</v>
      </c>
      <c r="L84" s="21">
        <f t="shared" si="62"/>
        <v>0</v>
      </c>
      <c r="M84" s="21">
        <f>M37</f>
        <v>0</v>
      </c>
    </row>
    <row r="85" spans="1:13" x14ac:dyDescent="0.3">
      <c r="A85" s="17" t="s">
        <v>138</v>
      </c>
      <c r="B85" s="21">
        <f>B81-B82+B83-B84</f>
        <v>1695.4349999999997</v>
      </c>
      <c r="C85" s="21">
        <f t="shared" ref="C85:H85" si="63">C81-C82+C83-C84</f>
        <v>1639.4899999999998</v>
      </c>
      <c r="D85" s="21">
        <f t="shared" si="63"/>
        <v>1524.56</v>
      </c>
      <c r="E85" s="21">
        <f t="shared" si="63"/>
        <v>1724.93202</v>
      </c>
      <c r="F85" s="21">
        <f t="shared" si="63"/>
        <v>1545.0956999999999</v>
      </c>
      <c r="G85" s="21">
        <f t="shared" si="63"/>
        <v>1551.1781999999998</v>
      </c>
      <c r="H85" s="21">
        <f t="shared" si="63"/>
        <v>1692.3649906890132</v>
      </c>
      <c r="I85" s="21">
        <f t="shared" ref="I85:J85" si="64">I81-I82+I83-I84</f>
        <v>2492.2440537745606</v>
      </c>
      <c r="J85" s="21">
        <f t="shared" si="64"/>
        <v>2687.8718871666788</v>
      </c>
      <c r="K85" s="21">
        <f t="shared" ref="K85:L85" si="65">K81-K82+K83-K84</f>
        <v>3595.8429561200919</v>
      </c>
      <c r="L85" s="21">
        <f t="shared" si="65"/>
        <v>4288.7170632835378</v>
      </c>
      <c r="M85" s="21">
        <f>M81-M82+M83-M84</f>
        <v>6201.1939335269444</v>
      </c>
    </row>
    <row r="86" spans="1:13" x14ac:dyDescent="0.3">
      <c r="A86" s="17" t="s">
        <v>139</v>
      </c>
      <c r="B86" s="2">
        <f>IFERROR((B25+B26)/'Annual Income Statement US$'!B13,"")</f>
        <v>0.21040861880215089</v>
      </c>
      <c r="C86" s="2">
        <f>IFERROR((C25+C26)/'Annual Income Statement US$'!C13,"")</f>
        <v>0.17495284374750253</v>
      </c>
      <c r="D86" s="2">
        <f>IFERROR((D25+D26)/'Annual Income Statement US$'!D13,"")</f>
        <v>0.16760284256765673</v>
      </c>
      <c r="E86" s="2">
        <f>IFERROR((E25+E26)/'Annual Income Statement US$'!E13,"")</f>
        <v>0.17271649242061057</v>
      </c>
      <c r="F86" s="2">
        <f>IFERROR((F25+F26)/'Annual Income Statement US$'!F13,"")</f>
        <v>0.1538970803006329</v>
      </c>
      <c r="G86" s="2">
        <f>IFERROR((G25+G26)/'Annual Income Statement US$'!G13,"")</f>
        <v>0.17776863484453417</v>
      </c>
      <c r="H86" s="2">
        <f>IFERROR((H25+H26)/'Annual Income Statement US$'!H13,"")</f>
        <v>0.20036111987630859</v>
      </c>
      <c r="I86" s="2">
        <f>IFERROR((I25+I26)/'Annual Income Statement US$'!I13,"")</f>
        <v>0.24170279295360789</v>
      </c>
      <c r="J86" s="2">
        <f>IFERROR((J25+J26)/'Annual Income Statement US$'!J13,"")</f>
        <v>0.24890851451580315</v>
      </c>
      <c r="K86" s="2">
        <f>IFERROR((K25+K26)/'Annual Income Statement US$'!K13,"")</f>
        <v>0.31443647982917822</v>
      </c>
      <c r="L86" s="2">
        <f>IFERROR((L25+L26)/'Annual Income Statement US$'!L13,"")</f>
        <v>1.2699824506363739</v>
      </c>
      <c r="M86" s="2">
        <f>IFERROR((M25+M26)/'Annual Income Statement US$'!M13,"")</f>
        <v>2.0276201914519549</v>
      </c>
    </row>
    <row r="87" spans="1:13" x14ac:dyDescent="0.3">
      <c r="A87" s="17" t="s">
        <v>140</v>
      </c>
      <c r="B87" s="204">
        <f>IFERROR(((B25+B26)/(-'Annual Income Statement US$'!B24-'Annual Income Statement US$'!B27))*12,"")</f>
        <v>2.7943369945413497</v>
      </c>
      <c r="C87" s="204">
        <f>IFERROR(((C25+C26)/(-'Annual Income Statement US$'!C24-'Annual Income Statement US$'!C27))*12,"")</f>
        <v>2.2773123829193831</v>
      </c>
      <c r="D87" s="204">
        <f>IFERROR(((D25+D26)/(-'Annual Income Statement US$'!D24-'Annual Income Statement US$'!D27))*12,"")</f>
        <v>2.2150074895992726</v>
      </c>
      <c r="E87" s="204">
        <f>IFERROR(((E25+E26)/(-'Annual Income Statement US$'!E24-'Annual Income Statement US$'!E27))*12,"")</f>
        <v>2.2944038721344659</v>
      </c>
      <c r="F87" s="204">
        <f>IFERROR(((F25+F26)/(-'Annual Income Statement US$'!F24-'Annual Income Statement US$'!F27))*12,"")</f>
        <v>2.0572657878965921</v>
      </c>
      <c r="G87" s="204">
        <f>IFERROR(((G25+G26)/(-'Annual Income Statement US$'!G24-'Annual Income Statement US$'!G27))*12,"")</f>
        <v>2.5265646200604661</v>
      </c>
      <c r="H87" s="204">
        <f>IFERROR(((H25+H26)/(-'Annual Income Statement US$'!H24-'Annual Income Statement US$'!H27))*12,"")</f>
        <v>2.8401128271303806</v>
      </c>
      <c r="I87" s="204">
        <f>IFERROR(((I25+I26)/(-'Annual Income Statement US$'!I24-'Annual Income Statement US$'!I27))*12,"")</f>
        <v>3.3907240320086629</v>
      </c>
      <c r="J87" s="204">
        <f>IFERROR(((J25+J26)/(-'Annual Income Statement US$'!J24-'Annual Income Statement US$'!J27))*12,"")</f>
        <v>3.6357809223756625</v>
      </c>
      <c r="K87" s="204">
        <f>IFERROR(((K25+K26)/(-'Annual Income Statement US$'!K24-'Annual Income Statement US$'!K27))*12,"")</f>
        <v>4.6586519230296286</v>
      </c>
      <c r="L87" s="204">
        <f>IFERROR(((L25+L26)/(-'Annual Income Statement US$'!L24-'Annual Income Statement US$'!L27))*12,"")</f>
        <v>11.93364097392182</v>
      </c>
      <c r="M87" s="204">
        <f>IFERROR(((M25+M26)/(-'Annual Income Statement US$'!M24-'Annual Income Statement US$'!M27))*12,"")</f>
        <v>17.116908867034251</v>
      </c>
    </row>
    <row r="88" spans="1:13" x14ac:dyDescent="0.3">
      <c r="A88" s="17" t="s">
        <v>141</v>
      </c>
      <c r="B88" s="2">
        <f>IFERROR((B25+B26)/B70,"")</f>
        <v>0.4918106349562486</v>
      </c>
      <c r="C88" s="2">
        <f t="shared" ref="C88:M88" si="66">IFERROR((C25+C26)/C70,"")</f>
        <v>0.48475750577367199</v>
      </c>
      <c r="D88" s="2">
        <f t="shared" si="66"/>
        <v>0.51226295828065738</v>
      </c>
      <c r="E88" s="2">
        <f t="shared" si="66"/>
        <v>0.50957765981998615</v>
      </c>
      <c r="F88" s="2">
        <f t="shared" si="66"/>
        <v>0.43615797546012264</v>
      </c>
      <c r="G88" s="2">
        <f t="shared" si="66"/>
        <v>0.41789177353769158</v>
      </c>
      <c r="H88" s="2">
        <f t="shared" si="66"/>
        <v>0.45013599274705351</v>
      </c>
      <c r="I88" s="2">
        <f t="shared" ref="I88:J88" si="67">IFERROR((I25+I26)/I70,"")</f>
        <v>0.62167020755025326</v>
      </c>
      <c r="J88" s="2">
        <f t="shared" si="67"/>
        <v>0.47444814030843668</v>
      </c>
      <c r="K88" s="2">
        <f t="shared" ref="K88:L88" si="68">IFERROR((K25+K26)/K70,"")</f>
        <v>0.63719974031594895</v>
      </c>
      <c r="L88" s="2">
        <f t="shared" si="68"/>
        <v>0.57748864423743174</v>
      </c>
      <c r="M88" s="2">
        <f t="shared" si="66"/>
        <v>0.52164009111617315</v>
      </c>
    </row>
    <row r="89" spans="1:13" x14ac:dyDescent="0.3">
      <c r="A89" s="8" t="s">
        <v>142</v>
      </c>
      <c r="B89" s="10"/>
      <c r="C89" s="10"/>
      <c r="D89" s="10"/>
      <c r="E89" s="10"/>
      <c r="F89" s="10"/>
      <c r="G89" s="10"/>
      <c r="H89" s="10"/>
      <c r="I89" s="10"/>
      <c r="J89" s="10"/>
      <c r="K89" s="10"/>
      <c r="L89" s="10"/>
      <c r="M89" s="10"/>
    </row>
    <row r="90" spans="1:13" x14ac:dyDescent="0.3">
      <c r="A90" s="17" t="s">
        <v>143</v>
      </c>
      <c r="B90" s="25">
        <f>IFERROR(B72/'Annual Income Statement US$'!B28,"")</f>
        <v>2.2548531266826943</v>
      </c>
      <c r="C90" s="25">
        <f>IFERROR(C72/'Annual Income Statement US$'!C28,"")</f>
        <v>2.380717574116864</v>
      </c>
      <c r="D90" s="25">
        <f>IFERROR(D72/'Annual Income Statement US$'!D28,"")</f>
        <v>1.7346102929865443</v>
      </c>
      <c r="E90" s="25">
        <f>IFERROR(E72/'Annual Income Statement US$'!E28,"")</f>
        <v>1.7194530595238111</v>
      </c>
      <c r="F90" s="25">
        <f>IFERROR(F72/'Annual Income Statement US$'!F28,"")</f>
        <v>1.9443775909351999</v>
      </c>
      <c r="G90" s="25">
        <f>IFERROR(G72/'Annual Income Statement US$'!G28,"")</f>
        <v>1.5905826575956465</v>
      </c>
      <c r="H90" s="25">
        <f>IFERROR(H72/'Annual Income Statement US$'!H28,"")</f>
        <v>1.5951220218899145</v>
      </c>
      <c r="I90" s="25">
        <f>IFERROR(I72/'Annual Income Statement US$'!I28,"")</f>
        <v>1.0172579844681868</v>
      </c>
      <c r="J90" s="25">
        <f>IFERROR(J72/'Annual Income Statement US$'!J28,"")</f>
        <v>1.5449012956857413</v>
      </c>
      <c r="K90" s="25">
        <f>IFERROR(K72/'Annual Income Statement US$'!K28,"")</f>
        <v>0.94197357957504735</v>
      </c>
      <c r="L90" s="25">
        <f>IFERROR(L72/'Annual Income Statement US$'!L28,"")</f>
        <v>-3.3538472344344243</v>
      </c>
      <c r="M90" s="25">
        <f>IFERROR(M72/'Annual Income Statement US$'!M28,"")</f>
        <v>-4.4115124378363619</v>
      </c>
    </row>
    <row r="91" spans="1:13" x14ac:dyDescent="0.3">
      <c r="A91" s="17" t="s">
        <v>144</v>
      </c>
      <c r="B91" s="25">
        <f>IFERROR(B72/B66,"")</f>
        <v>1.1864850707176531</v>
      </c>
      <c r="C91" s="25">
        <f t="shared" ref="C91:M91" si="69">IFERROR(C72/C66,"")</f>
        <v>-0.55691462805791325</v>
      </c>
      <c r="D91" s="25">
        <f t="shared" si="69"/>
        <v>-0.57719928186714531</v>
      </c>
      <c r="E91" s="25">
        <f t="shared" si="69"/>
        <v>-1.5211166785969941</v>
      </c>
      <c r="F91" s="25">
        <f t="shared" si="69"/>
        <v>-2.5957634598411303</v>
      </c>
      <c r="G91" s="25">
        <f t="shared" si="69"/>
        <v>93.049999999999955</v>
      </c>
      <c r="H91" s="25">
        <f t="shared" si="69"/>
        <v>2.9852337981952415</v>
      </c>
      <c r="I91" s="25">
        <f t="shared" ref="I91:J91" si="70">IFERROR(I72/I66,"")</f>
        <v>0.68511393903521767</v>
      </c>
      <c r="J91" s="25">
        <f t="shared" si="70"/>
        <v>1.5910894110466891</v>
      </c>
      <c r="K91" s="25">
        <f t="shared" ref="K91:L91" si="71">IFERROR(K72/K66,"")</f>
        <v>0.76204545454545458</v>
      </c>
      <c r="L91" s="25">
        <f t="shared" si="71"/>
        <v>3.1999999999999993</v>
      </c>
      <c r="M91" s="25">
        <f t="shared" si="69"/>
        <v>55.034482758620491</v>
      </c>
    </row>
    <row r="92" spans="1:13" x14ac:dyDescent="0.3">
      <c r="A92" s="17" t="s">
        <v>145</v>
      </c>
      <c r="B92" s="25">
        <f>IFERROR(B72/(B72+B66),"")</f>
        <v>0.54264494489698134</v>
      </c>
      <c r="C92" s="25">
        <f t="shared" ref="C92:M92" si="72">IFERROR(C72/(C72+C66),"")</f>
        <v>-1.2569014084507046</v>
      </c>
      <c r="D92" s="25">
        <f t="shared" si="72"/>
        <v>-1.3651804670912946</v>
      </c>
      <c r="E92" s="25">
        <f t="shared" si="72"/>
        <v>2.918956043956042</v>
      </c>
      <c r="F92" s="25">
        <f t="shared" si="72"/>
        <v>1.6266592920353982</v>
      </c>
      <c r="G92" s="25">
        <f t="shared" si="72"/>
        <v>0.98936735778841045</v>
      </c>
      <c r="H92" s="25">
        <f t="shared" si="72"/>
        <v>0.7490736928777274</v>
      </c>
      <c r="I92" s="25">
        <f t="shared" ref="I92:J92" si="73">IFERROR(I72/(I72+I66),"")</f>
        <v>0.40656831752722167</v>
      </c>
      <c r="J92" s="25">
        <f t="shared" si="73"/>
        <v>0.61406194794488278</v>
      </c>
      <c r="K92" s="25">
        <f t="shared" ref="K92:L92" si="74">IFERROR(K72/(K72+K66),"")</f>
        <v>0.43247775054817489</v>
      </c>
      <c r="L92" s="25">
        <f t="shared" si="74"/>
        <v>0.76190476190476186</v>
      </c>
      <c r="M92" s="25">
        <f t="shared" si="72"/>
        <v>0.98215384615384604</v>
      </c>
    </row>
    <row r="93" spans="1:13" x14ac:dyDescent="0.3">
      <c r="A93" s="14" t="s">
        <v>146</v>
      </c>
      <c r="B93" s="257">
        <f>IFERROR(B75/'Annual Income Statement US$'!B26,"")</f>
        <v>3.4394280315656593</v>
      </c>
      <c r="C93" s="257">
        <f>IFERROR(C75/'Annual Income Statement US$'!C26,"")</f>
        <v>3.6266592912431515</v>
      </c>
      <c r="D93" s="257">
        <f>IFERROR(D75/'Annual Income Statement US$'!D26,"")</f>
        <v>2.9538873030186044</v>
      </c>
      <c r="E93" s="257">
        <f>IFERROR(E75/'Annual Income Statement US$'!E26,"")</f>
        <v>2.8278450905940615</v>
      </c>
      <c r="F93" s="257">
        <f>IFERROR(F75/'Annual Income Statement US$'!F26,"")</f>
        <v>2.8913613216576914</v>
      </c>
      <c r="G93" s="257">
        <f>IFERROR(G75/'Annual Income Statement US$'!G26,"")</f>
        <v>2.3507436137535835</v>
      </c>
      <c r="H93" s="257">
        <f>IFERROR(H75/'Annual Income Statement US$'!H26,"")</f>
        <v>2.5151859960560379</v>
      </c>
      <c r="I93" s="257">
        <f>IFERROR(I75/'Annual Income Statement US$'!I26,"")</f>
        <v>2.0720491635121756</v>
      </c>
      <c r="J93" s="257">
        <f>IFERROR(J75/'Annual Income Statement US$'!J26,"")</f>
        <v>1.5449012956857413</v>
      </c>
      <c r="K93" s="257">
        <f>IFERROR(K75/'Annual Income Statement US$'!K26,"")</f>
        <v>0.94197357957504735</v>
      </c>
      <c r="L93" s="257">
        <f>IFERROR(L75/'Annual Income Statement US$'!L26,"")</f>
        <v>-3.3538472344344243</v>
      </c>
      <c r="M93" s="257">
        <f>IFERROR(M75/'Annual Income Statement US$'!M26,"")</f>
        <v>-4.4115124378363619</v>
      </c>
    </row>
    <row r="94" spans="1:13" x14ac:dyDescent="0.3">
      <c r="A94" s="17" t="s">
        <v>147</v>
      </c>
      <c r="B94" s="25">
        <f>IFERROR(B75/B66,"")</f>
        <v>2.4119046605078687</v>
      </c>
      <c r="C94" s="25">
        <f t="shared" ref="C94:M94" si="75">IFERROR(C75/C66,"")</f>
        <v>-1.1617209295734159</v>
      </c>
      <c r="D94" s="25">
        <f t="shared" si="75"/>
        <v>-1.2791171741892737</v>
      </c>
      <c r="E94" s="25">
        <f t="shared" si="75"/>
        <v>-3.1662580108200586</v>
      </c>
      <c r="F94" s="25">
        <f t="shared" si="75"/>
        <v>-4.7496712901525031</v>
      </c>
      <c r="G94" s="25">
        <f t="shared" si="75"/>
        <v>160.00457190390446</v>
      </c>
      <c r="H94" s="25">
        <f t="shared" si="75"/>
        <v>5.6727808016151062</v>
      </c>
      <c r="I94" s="25">
        <f t="shared" ref="I94:J94" si="76">IFERROR(I75/I66,"")</f>
        <v>1.6942038383923421</v>
      </c>
      <c r="J94" s="25">
        <f t="shared" si="76"/>
        <v>1.5910894110466891</v>
      </c>
      <c r="K94" s="25">
        <f t="shared" ref="K94:L94" si="77">IFERROR(K75/K66,"")</f>
        <v>0.76204545454545458</v>
      </c>
      <c r="L94" s="25">
        <f t="shared" si="77"/>
        <v>3.1999999999999993</v>
      </c>
      <c r="M94" s="25">
        <f t="shared" si="75"/>
        <v>55.034482758620491</v>
      </c>
    </row>
    <row r="95" spans="1:13" s="27" customFormat="1" x14ac:dyDescent="0.3">
      <c r="A95" s="89" t="s">
        <v>148</v>
      </c>
      <c r="B95" s="25">
        <f>IFERROR(B75/(B66-B16),"")</f>
        <v>4.3071337669873913</v>
      </c>
      <c r="C95" s="25">
        <f t="shared" ref="C95:M95" si="78">IFERROR(C75/(C66-C16),"")</f>
        <v>-1.0053692036878601</v>
      </c>
      <c r="D95" s="25">
        <f t="shared" si="78"/>
        <v>-1.0775925374692596</v>
      </c>
      <c r="E95" s="25">
        <f t="shared" si="78"/>
        <v>-2.1984405770952393</v>
      </c>
      <c r="F95" s="25">
        <f t="shared" si="78"/>
        <v>-3.0768310873314957</v>
      </c>
      <c r="G95" s="25">
        <f t="shared" si="78"/>
        <v>-10.940483548984929</v>
      </c>
      <c r="H95" s="25">
        <f t="shared" si="78"/>
        <v>11.661247550031726</v>
      </c>
      <c r="I95" s="25">
        <f t="shared" ref="I95:J95" si="79">IFERROR(I75/(I66-I16),"")</f>
        <v>2.0817144617918997</v>
      </c>
      <c r="J95" s="25">
        <f t="shared" si="79"/>
        <v>2.0351288056206092</v>
      </c>
      <c r="K95" s="25">
        <f t="shared" ref="K95:L95" si="80">IFERROR(K75/(K66-K16),"")</f>
        <v>26.824000000000048</v>
      </c>
      <c r="L95" s="25">
        <f t="shared" si="80"/>
        <v>-2.0386329866270421</v>
      </c>
      <c r="M95" s="25">
        <f t="shared" si="78"/>
        <v>-1.8896519062277999</v>
      </c>
    </row>
    <row r="96" spans="1:13" x14ac:dyDescent="0.3">
      <c r="A96" s="17" t="s">
        <v>149</v>
      </c>
      <c r="B96" s="25">
        <f>IFERROR(B75/(B66+B75),"")</f>
        <v>0.70690857468123158</v>
      </c>
      <c r="C96" s="25">
        <f t="shared" ref="C96:M96" si="81">IFERROR(C75/(C66+C75),"")</f>
        <v>7.1834915408771094</v>
      </c>
      <c r="D96" s="25">
        <f t="shared" si="81"/>
        <v>4.5827247209155404</v>
      </c>
      <c r="E96" s="25">
        <f t="shared" si="81"/>
        <v>1.4616255289098459</v>
      </c>
      <c r="F96" s="25">
        <f t="shared" si="81"/>
        <v>1.2666900436382862</v>
      </c>
      <c r="G96" s="25">
        <f t="shared" si="81"/>
        <v>0.99378899624914463</v>
      </c>
      <c r="H96" s="25">
        <f t="shared" si="81"/>
        <v>0.85013744198551289</v>
      </c>
      <c r="I96" s="25">
        <f t="shared" ref="I96:J96" si="82">IFERROR(I75/(I66+I75),"")</f>
        <v>0.62883283523316857</v>
      </c>
      <c r="J96" s="25">
        <f t="shared" si="82"/>
        <v>0.61406194794488278</v>
      </c>
      <c r="K96" s="25">
        <f t="shared" ref="K96:L96" si="83">IFERROR(K75/(K66+K75),"")</f>
        <v>0.43247775054817489</v>
      </c>
      <c r="L96" s="25">
        <f t="shared" si="83"/>
        <v>0.76190476190476186</v>
      </c>
      <c r="M96" s="25">
        <f t="shared" si="81"/>
        <v>0.98215384615384604</v>
      </c>
    </row>
    <row r="97" spans="1:13" x14ac:dyDescent="0.3">
      <c r="A97" s="17" t="s">
        <v>150</v>
      </c>
      <c r="B97" s="25">
        <f>IFERROR(B75/'Annual Income Statement US$'!B13,"")</f>
        <v>0.44196618317726682</v>
      </c>
      <c r="C97" s="25">
        <f>IFERROR(C75/'Annual Income Statement US$'!C13,"")</f>
        <v>0.38790138130589047</v>
      </c>
      <c r="D97" s="25">
        <f>IFERROR(D75/'Annual Income Statement US$'!D13,"")</f>
        <v>0.35363782810891081</v>
      </c>
      <c r="E97" s="25">
        <f>IFERROR(E75/'Annual Income Statement US$'!E13,"")</f>
        <v>0.3460010751292199</v>
      </c>
      <c r="F97" s="25">
        <f>IFERROR(F75/'Annual Income Statement US$'!F13,"")</f>
        <v>0.36403441595012059</v>
      </c>
      <c r="G97" s="25">
        <f>IFERROR(G75/'Annual Income Statement US$'!G13,"")</f>
        <v>0.42580530413534762</v>
      </c>
      <c r="H97" s="25">
        <f>IFERROR(H75/'Annual Income Statement US$'!H13,"")</f>
        <v>0.46509605459535935</v>
      </c>
      <c r="I97" s="25">
        <f>IFERROR(I75/'Annual Income Statement US$'!I13,"")</f>
        <v>0.36374330934655674</v>
      </c>
      <c r="J97" s="25">
        <f>IFERROR(J75/'Annual Income Statement US$'!J13,"")</f>
        <v>0.27571892812521726</v>
      </c>
      <c r="K97" s="25">
        <f>IFERROR(K75/'Annual Income Statement US$'!K13,"")</f>
        <v>0.17902963438057984</v>
      </c>
      <c r="L97" s="25">
        <f>IFERROR(L75/'Annual Income Statement US$'!L13,"")</f>
        <v>0.92916460326522032</v>
      </c>
      <c r="M97" s="25">
        <f>IFERROR(M75/'Annual Income Statement US$'!M13,"")</f>
        <v>1.8593896952179496</v>
      </c>
    </row>
    <row r="98" spans="1:13" x14ac:dyDescent="0.3">
      <c r="A98" s="17" t="s">
        <v>151</v>
      </c>
      <c r="B98" s="25">
        <f>IFERROR(B128/'Annual Income Statement US$'!B26,"")</f>
        <v>3.4394280315656593</v>
      </c>
      <c r="C98" s="25">
        <f>IFERROR(C128/'Annual Income Statement US$'!C26,"")</f>
        <v>3.6266592912431515</v>
      </c>
      <c r="D98" s="25">
        <f>IFERROR(D128/'Annual Income Statement US$'!D26,"")</f>
        <v>2.9538873030186044</v>
      </c>
      <c r="E98" s="25">
        <f>IFERROR(E128/'Annual Income Statement US$'!E26,"")</f>
        <v>2.8278450905940615</v>
      </c>
      <c r="F98" s="25">
        <f>IFERROR(F128/'Annual Income Statement US$'!F26,"")</f>
        <v>2.8913613216576914</v>
      </c>
      <c r="G98" s="25">
        <f>IFERROR(G128/'Annual Income Statement US$'!G26,"")</f>
        <v>2.3507436137535835</v>
      </c>
      <c r="H98" s="25">
        <f>IFERROR(H128/'Annual Income Statement US$'!H26,"")</f>
        <v>2.5151859960560379</v>
      </c>
      <c r="I98" s="25">
        <f>IFERROR(I128/'Annual Income Statement US$'!I26,"")</f>
        <v>2.0720491635121756</v>
      </c>
      <c r="J98" s="25">
        <f>IFERROR(J128/'Annual Income Statement US$'!J26,"")</f>
        <v>1.5449012956857413</v>
      </c>
      <c r="K98" s="25">
        <f>IFERROR(K128/'Annual Income Statement US$'!K26,"")</f>
        <v>0.94197357957504735</v>
      </c>
      <c r="L98" s="25">
        <f>IFERROR(L128/'Annual Income Statement US$'!L26,"")</f>
        <v>-3.3538472344344243</v>
      </c>
      <c r="M98" s="25">
        <f>IFERROR(M128/'Annual Income Statement US$'!M26,"")</f>
        <v>-4.4115124378363619</v>
      </c>
    </row>
    <row r="99" spans="1:13" x14ac:dyDescent="0.3">
      <c r="A99" s="17" t="s">
        <v>152</v>
      </c>
      <c r="B99" s="2">
        <f>IFERROR(B66/B34,"")</f>
        <v>0.18105083459787558</v>
      </c>
      <c r="C99" s="2">
        <f t="shared" ref="C99:M99" si="84">IFERROR(C66/C34,"")</f>
        <v>-0.4158621405584968</v>
      </c>
      <c r="D99" s="2">
        <f t="shared" si="84"/>
        <v>-0.36887417218543045</v>
      </c>
      <c r="E99" s="2">
        <f t="shared" si="84"/>
        <v>-0.14751847940865889</v>
      </c>
      <c r="F99" s="2">
        <f t="shared" si="84"/>
        <v>-0.10640495867768594</v>
      </c>
      <c r="G99" s="2">
        <f t="shared" si="84"/>
        <v>3.0471547192808734E-3</v>
      </c>
      <c r="H99" s="2">
        <f t="shared" si="84"/>
        <v>8.0653698557628689E-2</v>
      </c>
      <c r="I99" s="2">
        <f t="shared" ref="I99:J99" si="85">IFERROR(I66/I34,"")</f>
        <v>0.19092552830828344</v>
      </c>
      <c r="J99" s="2">
        <f t="shared" si="85"/>
        <v>0.14975094822464927</v>
      </c>
      <c r="K99" s="2">
        <f t="shared" ref="K99:L99" si="86">IFERROR(K66/K34,"")</f>
        <v>0.15850715083396374</v>
      </c>
      <c r="L99" s="2">
        <f t="shared" si="86"/>
        <v>5.9315878670494232E-2</v>
      </c>
      <c r="M99" s="2">
        <f t="shared" si="84"/>
        <v>4.7854785478548016E-3</v>
      </c>
    </row>
    <row r="100" spans="1:13" s="29" customFormat="1" x14ac:dyDescent="0.3">
      <c r="A100" s="89" t="s">
        <v>256</v>
      </c>
      <c r="B100" s="71">
        <f>IFERROR(B66/(B34+B73),"")</f>
        <v>0.14817602228321591</v>
      </c>
      <c r="C100" s="71">
        <f t="shared" ref="C100:M100" si="87">IFERROR(C66/(C34+C73),"")</f>
        <v>-0.33228670365634949</v>
      </c>
      <c r="D100" s="71">
        <f t="shared" si="87"/>
        <v>-0.29300857355455512</v>
      </c>
      <c r="E100" s="71">
        <f t="shared" si="87"/>
        <v>-0.11870911334533132</v>
      </c>
      <c r="F100" s="71">
        <f t="shared" si="87"/>
        <v>-8.6565351113196465E-2</v>
      </c>
      <c r="G100" s="71">
        <f t="shared" si="87"/>
        <v>2.5308153859038437E-3</v>
      </c>
      <c r="H100" s="71">
        <f t="shared" si="87"/>
        <v>6.6285593212267527E-2</v>
      </c>
      <c r="I100" s="71">
        <f t="shared" ref="I100:J100" si="88">IFERROR(I66/(I34+I73),"")</f>
        <v>0.16008364888529192</v>
      </c>
      <c r="J100" s="71">
        <f t="shared" si="88"/>
        <v>0.14975094822464927</v>
      </c>
      <c r="K100" s="71">
        <f t="shared" ref="K100:L100" si="89">IFERROR(K66/(K34+K73),"")</f>
        <v>0.15850715083396374</v>
      </c>
      <c r="L100" s="71">
        <f t="shared" si="89"/>
        <v>5.9315878670494232E-2</v>
      </c>
      <c r="M100" s="71">
        <f t="shared" si="87"/>
        <v>4.7854785478548016E-3</v>
      </c>
    </row>
    <row r="101" spans="1:13" x14ac:dyDescent="0.3">
      <c r="A101" s="8" t="s">
        <v>153</v>
      </c>
      <c r="B101" s="10"/>
      <c r="C101" s="10"/>
      <c r="D101" s="10"/>
      <c r="E101" s="10"/>
      <c r="F101" s="10"/>
      <c r="G101" s="10"/>
      <c r="H101" s="10"/>
      <c r="I101" s="10"/>
      <c r="J101" s="10"/>
      <c r="K101" s="10"/>
      <c r="L101" s="10"/>
      <c r="M101" s="10"/>
    </row>
    <row r="102" spans="1:13" x14ac:dyDescent="0.3">
      <c r="A102" s="17" t="s">
        <v>154</v>
      </c>
      <c r="B102" s="5">
        <f t="shared" ref="B102:M102" si="90">B21</f>
        <v>0</v>
      </c>
      <c r="C102" s="5">
        <f t="shared" si="90"/>
        <v>0</v>
      </c>
      <c r="D102" s="5">
        <f t="shared" si="90"/>
        <v>0</v>
      </c>
      <c r="E102" s="5">
        <f t="shared" si="90"/>
        <v>0</v>
      </c>
      <c r="F102" s="5">
        <f t="shared" si="90"/>
        <v>0</v>
      </c>
      <c r="G102" s="5">
        <f t="shared" si="90"/>
        <v>614.54964999999993</v>
      </c>
      <c r="H102" s="5">
        <f t="shared" si="90"/>
        <v>858.84543761638736</v>
      </c>
      <c r="I102" s="5">
        <f t="shared" ref="I102:J102" si="91">I21</f>
        <v>1259.2474743457165</v>
      </c>
      <c r="J102" s="5">
        <f t="shared" si="91"/>
        <v>1446.4115184015279</v>
      </c>
      <c r="K102" s="5">
        <f t="shared" ref="K102:L102" si="92">K21</f>
        <v>1588.9145496535798</v>
      </c>
      <c r="L102" s="5">
        <f t="shared" si="92"/>
        <v>2131.972074168606</v>
      </c>
      <c r="M102" s="5">
        <f t="shared" si="90"/>
        <v>2586.3181671506936</v>
      </c>
    </row>
    <row r="103" spans="1:13" x14ac:dyDescent="0.3">
      <c r="A103" s="17" t="s">
        <v>155</v>
      </c>
      <c r="B103" s="21">
        <f t="shared" ref="B103:M103" si="93">-B54</f>
        <v>-1064.2949999999998</v>
      </c>
      <c r="C103" s="21">
        <f t="shared" si="93"/>
        <v>-5445.0644000000002</v>
      </c>
      <c r="D103" s="21">
        <f t="shared" si="93"/>
        <v>-4703.0669999999991</v>
      </c>
      <c r="E103" s="21">
        <f t="shared" si="93"/>
        <v>-2527.2041100000001</v>
      </c>
      <c r="F103" s="21">
        <f t="shared" si="93"/>
        <v>-2073.0681</v>
      </c>
      <c r="G103" s="21">
        <f t="shared" si="93"/>
        <v>-1621.2267499999998</v>
      </c>
      <c r="H103" s="21">
        <f t="shared" si="93"/>
        <v>-1814.5251396648043</v>
      </c>
      <c r="I103" s="21">
        <f t="shared" ref="I103:J103" si="94">-I54</f>
        <v>-2061.8884734706867</v>
      </c>
      <c r="J103" s="21">
        <f t="shared" si="94"/>
        <v>-1871.0056563578933</v>
      </c>
      <c r="K103" s="21">
        <f t="shared" ref="K103:L103" si="95">-K54</f>
        <v>-2255.5812163202463</v>
      </c>
      <c r="L103" s="21">
        <f t="shared" si="95"/>
        <v>-2263.3435928233616</v>
      </c>
      <c r="M103" s="21">
        <f t="shared" si="93"/>
        <v>-2057.9219102936431</v>
      </c>
    </row>
    <row r="104" spans="1:13" x14ac:dyDescent="0.3">
      <c r="A104" s="17" t="s">
        <v>156</v>
      </c>
      <c r="B104" s="21">
        <f t="shared" ref="B104:M104" si="96">B102+B103</f>
        <v>-1064.2949999999998</v>
      </c>
      <c r="C104" s="21">
        <f t="shared" si="96"/>
        <v>-5445.0644000000002</v>
      </c>
      <c r="D104" s="21">
        <f t="shared" si="96"/>
        <v>-4703.0669999999991</v>
      </c>
      <c r="E104" s="21">
        <f t="shared" si="96"/>
        <v>-2527.2041100000001</v>
      </c>
      <c r="F104" s="21">
        <f t="shared" si="96"/>
        <v>-2073.0681</v>
      </c>
      <c r="G104" s="21">
        <f t="shared" si="96"/>
        <v>-1006.6770999999999</v>
      </c>
      <c r="H104" s="21">
        <f t="shared" si="96"/>
        <v>-955.67970204841697</v>
      </c>
      <c r="I104" s="21">
        <f t="shared" ref="I104:J104" si="97">I102+I103</f>
        <v>-802.64099912497022</v>
      </c>
      <c r="J104" s="21">
        <f t="shared" si="97"/>
        <v>-424.59413795636533</v>
      </c>
      <c r="K104" s="21">
        <f t="shared" ref="K104:L104" si="98">K102+K103</f>
        <v>-666.66666666666652</v>
      </c>
      <c r="L104" s="21">
        <f t="shared" si="98"/>
        <v>-131.37151865475562</v>
      </c>
      <c r="M104" s="21">
        <f t="shared" si="96"/>
        <v>528.3962568570505</v>
      </c>
    </row>
    <row r="105" spans="1:13" x14ac:dyDescent="0.3">
      <c r="A105" s="17" t="s">
        <v>157</v>
      </c>
      <c r="B105" s="25">
        <f>IFERROR((B72-B104)/B66,"")</f>
        <v>1.7412257726558407</v>
      </c>
      <c r="C105" s="25">
        <f t="shared" ref="C105:M105" si="99">IFERROR((C72-C104)/C66,"")</f>
        <v>-1.9455816275586624</v>
      </c>
      <c r="D105" s="25">
        <f t="shared" si="99"/>
        <v>-1.9802513464991021</v>
      </c>
      <c r="E105" s="25">
        <f t="shared" si="99"/>
        <v>-3.4445239799570513</v>
      </c>
      <c r="F105" s="25">
        <f t="shared" si="99"/>
        <v>-4.7166813768755516</v>
      </c>
      <c r="G105" s="25">
        <f t="shared" si="99"/>
        <v>127.89999999999993</v>
      </c>
      <c r="H105" s="25">
        <f t="shared" si="99"/>
        <v>4.0377358490566033</v>
      </c>
      <c r="I105" s="25">
        <f t="shared" ref="I105:J105" si="100">IFERROR((I72-I104)/I66,"")</f>
        <v>0.9837229949689259</v>
      </c>
      <c r="J105" s="25">
        <f t="shared" si="100"/>
        <v>1.7674702471772963</v>
      </c>
      <c r="K105" s="25">
        <f t="shared" ref="K105:L105" si="101">IFERROR((K72-K104)/K66,"")</f>
        <v>0.95886363636363625</v>
      </c>
      <c r="L105" s="25">
        <f t="shared" si="101"/>
        <v>3.3020408163265302</v>
      </c>
      <c r="M105" s="25">
        <f t="shared" si="99"/>
        <v>50.517241379310164</v>
      </c>
    </row>
    <row r="106" spans="1:13" x14ac:dyDescent="0.3">
      <c r="A106" s="17" t="s">
        <v>158</v>
      </c>
      <c r="B106" s="25">
        <f>IFERROR((B75-B104)/B66,"")</f>
        <v>2.966645362446056</v>
      </c>
      <c r="C106" s="25">
        <f t="shared" ref="C106:M106" si="102">IFERROR((C75-C104)/C66,"")</f>
        <v>-2.5503879290741653</v>
      </c>
      <c r="D106" s="25">
        <f t="shared" si="102"/>
        <v>-2.6821692388212308</v>
      </c>
      <c r="E106" s="25">
        <f t="shared" si="102"/>
        <v>-5.0896653121801165</v>
      </c>
      <c r="F106" s="25">
        <f t="shared" si="102"/>
        <v>-6.8705892071869252</v>
      </c>
      <c r="G106" s="25">
        <f t="shared" si="102"/>
        <v>194.85457190390443</v>
      </c>
      <c r="H106" s="25">
        <f t="shared" si="102"/>
        <v>6.7252828524764681</v>
      </c>
      <c r="I106" s="25">
        <f t="shared" ref="I106:J106" si="103">IFERROR((I75-I104)/I66,"")</f>
        <v>1.9928128943260501</v>
      </c>
      <c r="J106" s="25">
        <f t="shared" si="103"/>
        <v>1.7674702471772963</v>
      </c>
      <c r="K106" s="25">
        <f t="shared" ref="K106:L106" si="104">IFERROR((K75-K104)/K66,"")</f>
        <v>0.95886363636363625</v>
      </c>
      <c r="L106" s="25">
        <f t="shared" si="104"/>
        <v>3.3020408163265302</v>
      </c>
      <c r="M106" s="25">
        <f t="shared" si="102"/>
        <v>50.517241379310164</v>
      </c>
    </row>
    <row r="107" spans="1:13" x14ac:dyDescent="0.3">
      <c r="A107" s="8" t="s">
        <v>159</v>
      </c>
      <c r="B107" s="10"/>
      <c r="C107" s="10"/>
      <c r="D107" s="10"/>
      <c r="E107" s="10"/>
      <c r="F107" s="10"/>
      <c r="G107" s="10"/>
      <c r="H107" s="10"/>
      <c r="I107" s="10"/>
      <c r="J107" s="10"/>
      <c r="K107" s="10"/>
      <c r="L107" s="10"/>
      <c r="M107" s="10"/>
    </row>
    <row r="108" spans="1:13" x14ac:dyDescent="0.3">
      <c r="A108" s="17" t="s">
        <v>160</v>
      </c>
      <c r="B108" s="21">
        <f>B33</f>
        <v>3462.2249999999995</v>
      </c>
      <c r="C108" s="21">
        <f t="shared" ref="C108:M108" si="105">C33</f>
        <v>3256.4675999999999</v>
      </c>
      <c r="D108" s="21">
        <f t="shared" si="105"/>
        <v>3063.1619999999994</v>
      </c>
      <c r="E108" s="21">
        <f t="shared" si="105"/>
        <v>3092.4626400000002</v>
      </c>
      <c r="F108" s="21">
        <f t="shared" si="105"/>
        <v>3000.4706000000001</v>
      </c>
      <c r="G108" s="21">
        <f t="shared" si="105"/>
        <v>2978.8687499999996</v>
      </c>
      <c r="H108" s="21">
        <f t="shared" si="105"/>
        <v>3237.9888268156428</v>
      </c>
      <c r="I108" s="21">
        <f t="shared" ref="I108:J108" si="106">I33</f>
        <v>4213.6663749900572</v>
      </c>
      <c r="J108" s="21">
        <f t="shared" si="106"/>
        <v>4628.6637772717258</v>
      </c>
      <c r="K108" s="21">
        <f t="shared" ref="K108:L108" si="107">K33</f>
        <v>5785.98922247883</v>
      </c>
      <c r="L108" s="21">
        <f t="shared" si="107"/>
        <v>6509.271075745065</v>
      </c>
      <c r="M108" s="21">
        <f t="shared" si="105"/>
        <v>7953.3720555017753</v>
      </c>
    </row>
    <row r="109" spans="1:13" x14ac:dyDescent="0.3">
      <c r="A109" s="17" t="s">
        <v>161</v>
      </c>
      <c r="B109" s="21">
        <f>-B43</f>
        <v>-3077.3099999999995</v>
      </c>
      <c r="C109" s="21">
        <f t="shared" ref="C109:M109" si="108">-C43</f>
        <v>-3086.1563999999998</v>
      </c>
      <c r="D109" s="21">
        <f t="shared" si="108"/>
        <v>-3275.7979999999998</v>
      </c>
      <c r="E109" s="21">
        <f t="shared" si="108"/>
        <v>-3000.2906999999996</v>
      </c>
      <c r="F109" s="21">
        <f t="shared" si="108"/>
        <v>-3051.3699000000001</v>
      </c>
      <c r="G109" s="21">
        <f t="shared" si="108"/>
        <v>-2765.1123499999994</v>
      </c>
      <c r="H109" s="21">
        <f t="shared" si="108"/>
        <v>-3295.3445065176911</v>
      </c>
      <c r="I109" s="21">
        <f t="shared" ref="I109:J109" si="109">-I43</f>
        <v>-4025.1372205870657</v>
      </c>
      <c r="J109" s="21">
        <f t="shared" si="109"/>
        <v>-4169.5438184088744</v>
      </c>
      <c r="K109" s="21">
        <f t="shared" ref="K109:L109" si="110">-K43</f>
        <v>-5985.3733641262515</v>
      </c>
      <c r="L109" s="21">
        <f t="shared" si="110"/>
        <v>-5359.2072667217171</v>
      </c>
      <c r="M109" s="21">
        <f t="shared" si="108"/>
        <v>-4960.4711197160368</v>
      </c>
    </row>
    <row r="110" spans="1:13" x14ac:dyDescent="0.3">
      <c r="A110" s="17" t="s">
        <v>162</v>
      </c>
      <c r="B110" s="21">
        <f>B24</f>
        <v>7134.494999999999</v>
      </c>
      <c r="C110" s="21">
        <f t="shared" ref="C110:M110" si="111">C24</f>
        <v>6172.3127999999988</v>
      </c>
      <c r="D110" s="21">
        <f t="shared" si="111"/>
        <v>6024.018</v>
      </c>
      <c r="E110" s="21">
        <f t="shared" si="111"/>
        <v>5814.35646</v>
      </c>
      <c r="F110" s="21">
        <f t="shared" si="111"/>
        <v>6185.5590000000002</v>
      </c>
      <c r="G110" s="21">
        <f t="shared" si="111"/>
        <v>6500.7942999999987</v>
      </c>
      <c r="H110" s="21">
        <f t="shared" si="111"/>
        <v>8020.1117318435763</v>
      </c>
      <c r="I110" s="21">
        <f t="shared" ref="I110:J110" si="112">I24</f>
        <v>9864.7681170949018</v>
      </c>
      <c r="J110" s="21">
        <f t="shared" si="112"/>
        <v>11446.411518401528</v>
      </c>
      <c r="K110" s="21">
        <f t="shared" ref="K110:L110" si="113">K24</f>
        <v>15583.525789068517</v>
      </c>
      <c r="L110" s="21">
        <f t="shared" si="113"/>
        <v>15195.555889197505</v>
      </c>
      <c r="M110" s="21">
        <f t="shared" si="111"/>
        <v>16489.99677315263</v>
      </c>
    </row>
    <row r="111" spans="1:13" x14ac:dyDescent="0.3">
      <c r="A111" s="17" t="s">
        <v>163</v>
      </c>
      <c r="B111" s="21">
        <f>-B57</f>
        <v>-1629.1049999999998</v>
      </c>
      <c r="C111" s="21">
        <f t="shared" ref="C111:M111" si="114">-C57</f>
        <v>-6440.5039999999999</v>
      </c>
      <c r="D111" s="21">
        <f t="shared" si="114"/>
        <v>-5704.0609999999988</v>
      </c>
      <c r="E111" s="21">
        <f t="shared" si="114"/>
        <v>-3496.8905399999999</v>
      </c>
      <c r="F111" s="21">
        <f t="shared" si="114"/>
        <v>-3029.8023999999996</v>
      </c>
      <c r="G111" s="21">
        <f t="shared" si="114"/>
        <v>-2446.6441999999997</v>
      </c>
      <c r="H111" s="21">
        <f t="shared" si="114"/>
        <v>-2651.7690875232774</v>
      </c>
      <c r="I111" s="21">
        <f t="shared" ref="I111:J111" si="115">-I57</f>
        <v>-3031.5806220666618</v>
      </c>
      <c r="J111" s="21">
        <f t="shared" si="115"/>
        <v>-2980.2394769705429</v>
      </c>
      <c r="K111" s="21">
        <f t="shared" ref="K111:L111" si="116">-K57</f>
        <v>-5819.8614318706695</v>
      </c>
      <c r="L111" s="21">
        <f t="shared" si="116"/>
        <v>-6649.6509271075747</v>
      </c>
      <c r="M111" s="21">
        <f t="shared" si="114"/>
        <v>-6727.1700548564049</v>
      </c>
    </row>
    <row r="112" spans="1:13" x14ac:dyDescent="0.3">
      <c r="A112" s="17" t="s">
        <v>164</v>
      </c>
      <c r="B112" s="21">
        <f>SUM(B108:B111)</f>
        <v>5890.3049999999994</v>
      </c>
      <c r="C112" s="21">
        <f t="shared" ref="C112:M112" si="117">SUM(C108:C111)</f>
        <v>-97.880000000001019</v>
      </c>
      <c r="D112" s="21">
        <f t="shared" si="117"/>
        <v>107.32100000000082</v>
      </c>
      <c r="E112" s="21">
        <f t="shared" si="117"/>
        <v>2409.6378600000012</v>
      </c>
      <c r="F112" s="21">
        <f t="shared" si="117"/>
        <v>3104.8573000000006</v>
      </c>
      <c r="G112" s="21">
        <f t="shared" si="117"/>
        <v>4267.9064999999991</v>
      </c>
      <c r="H112" s="21">
        <f t="shared" si="117"/>
        <v>5310.9869646182506</v>
      </c>
      <c r="I112" s="21">
        <f t="shared" ref="I112:J112" si="118">SUM(I108:I111)</f>
        <v>7021.7166494312314</v>
      </c>
      <c r="J112" s="21">
        <f t="shared" si="118"/>
        <v>8925.2920002938372</v>
      </c>
      <c r="K112" s="21">
        <f t="shared" ref="K112:L112" si="119">SUM(K108:K111)</f>
        <v>9564.2802155504269</v>
      </c>
      <c r="L112" s="21">
        <f t="shared" si="119"/>
        <v>9695.9687711132792</v>
      </c>
      <c r="M112" s="21">
        <f t="shared" si="117"/>
        <v>12755.727654081966</v>
      </c>
    </row>
    <row r="113" spans="1:13" x14ac:dyDescent="0.3">
      <c r="A113" s="8" t="s">
        <v>165</v>
      </c>
      <c r="B113" s="10"/>
      <c r="C113" s="10"/>
      <c r="D113" s="10"/>
      <c r="E113" s="10"/>
      <c r="F113" s="10"/>
      <c r="G113" s="10"/>
      <c r="H113" s="10"/>
      <c r="I113" s="10"/>
      <c r="J113" s="10"/>
      <c r="K113" s="10"/>
      <c r="L113" s="10"/>
      <c r="M113" s="10"/>
    </row>
    <row r="114" spans="1:13" x14ac:dyDescent="0.3">
      <c r="A114" s="17" t="s">
        <v>166</v>
      </c>
      <c r="B114" s="204">
        <f>IFERROR((B40/'Annual Income Statement US$'!B13)*12,"")</f>
        <v>1.5838240010198403</v>
      </c>
      <c r="C114" s="204">
        <f>IFERROR((C40/'Annual Income Statement US$'!C13)*12,"")</f>
        <v>1.5543214055280741</v>
      </c>
      <c r="D114" s="204">
        <f>IFERROR((D40/'Annual Income Statement US$'!D13)*12,"")</f>
        <v>1.5873461713663364</v>
      </c>
      <c r="E114" s="204">
        <f>IFERROR((E40/'Annual Income Statement US$'!E13)*12,"")</f>
        <v>1.5835474060520109</v>
      </c>
      <c r="F114" s="204">
        <f>IFERROR((F40/'Annual Income Statement US$'!F13)*12,"")</f>
        <v>1.4563060855877035</v>
      </c>
      <c r="G114" s="204">
        <f>IFERROR((G40/'Annual Income Statement US$'!G13)*12,"")</f>
        <v>1.4514223569492355</v>
      </c>
      <c r="H114" s="204">
        <f>IFERROR((H40/'Annual Income Statement US$'!H13)*12,"")</f>
        <v>1.6731061490577548</v>
      </c>
      <c r="I114" s="204">
        <f>IFERROR((I40/'Annual Income Statement US$'!I13)*12,"")</f>
        <v>1.8512756507613881</v>
      </c>
      <c r="J114" s="204">
        <f>IFERROR((J40/'Annual Income Statement US$'!J13)*12,"")</f>
        <v>1.7241158290361689</v>
      </c>
      <c r="K114" s="204">
        <f>IFERROR((K40/'Annual Income Statement US$'!K13)*12,"")</f>
        <v>2.6276189582872336</v>
      </c>
      <c r="L114" s="204">
        <f>IFERROR((L40/'Annual Income Statement US$'!L13)*12,"")</f>
        <v>4.701356177745744</v>
      </c>
      <c r="M114" s="204">
        <f>IFERROR((M40/'Annual Income Statement US$'!M13)*12,"")</f>
        <v>5.4020163776858334</v>
      </c>
    </row>
    <row r="115" spans="1:13" x14ac:dyDescent="0.3">
      <c r="A115" s="17" t="s">
        <v>167</v>
      </c>
      <c r="B115" s="21">
        <f>B44</f>
        <v>384.91499999999996</v>
      </c>
      <c r="C115" s="21">
        <f t="shared" ref="C115:M115" si="120">C44</f>
        <v>170.3112000000001</v>
      </c>
      <c r="D115" s="21">
        <f t="shared" si="120"/>
        <v>-212.63600000000042</v>
      </c>
      <c r="E115" s="21">
        <f t="shared" si="120"/>
        <v>92.171940000000632</v>
      </c>
      <c r="F115" s="21">
        <f t="shared" si="120"/>
        <v>-50.899300000000039</v>
      </c>
      <c r="G115" s="21">
        <f t="shared" si="120"/>
        <v>213.75640000000021</v>
      </c>
      <c r="H115" s="21">
        <f t="shared" si="120"/>
        <v>-57.355679702048292</v>
      </c>
      <c r="I115" s="21">
        <f t="shared" ref="I115:J115" si="121">I44</f>
        <v>188.52915440299148</v>
      </c>
      <c r="J115" s="21">
        <f t="shared" si="121"/>
        <v>459.11995886285149</v>
      </c>
      <c r="K115" s="21">
        <f t="shared" ref="K115:L115" si="122">K44</f>
        <v>-199.38414164742153</v>
      </c>
      <c r="L115" s="21">
        <f t="shared" si="122"/>
        <v>1150.0638090233479</v>
      </c>
      <c r="M115" s="21">
        <f t="shared" si="120"/>
        <v>2992.9009357857385</v>
      </c>
    </row>
    <row r="116" spans="1:13" x14ac:dyDescent="0.3">
      <c r="A116" s="17" t="s">
        <v>168</v>
      </c>
      <c r="B116" s="25">
        <f>IFERROR(B33/B43,"")</f>
        <v>1.1250816459830177</v>
      </c>
      <c r="C116" s="25">
        <f t="shared" ref="C116:M116" si="123">IFERROR(C33/C43,"")</f>
        <v>1.0551855375832542</v>
      </c>
      <c r="D116" s="25">
        <f t="shared" si="123"/>
        <v>0.93508879363135322</v>
      </c>
      <c r="E116" s="25">
        <f t="shared" si="123"/>
        <v>1.0307210031347964</v>
      </c>
      <c r="F116" s="25">
        <f t="shared" si="123"/>
        <v>0.98331919705965509</v>
      </c>
      <c r="G116" s="25">
        <f t="shared" si="123"/>
        <v>1.0773047793157484</v>
      </c>
      <c r="H116" s="25">
        <f t="shared" si="123"/>
        <v>0.98259493670886078</v>
      </c>
      <c r="I116" s="25">
        <f t="shared" ref="I116:J116" si="124">IFERROR(I33/I43,"")</f>
        <v>1.0468379446640317</v>
      </c>
      <c r="J116" s="25">
        <f t="shared" si="124"/>
        <v>1.1101127554615926</v>
      </c>
      <c r="K116" s="25">
        <f t="shared" ref="K116:L116" si="125">IFERROR(K33/K43,"")</f>
        <v>0.96668810289389062</v>
      </c>
      <c r="L116" s="25">
        <f t="shared" si="125"/>
        <v>1.2145958817761593</v>
      </c>
      <c r="M116" s="25">
        <f t="shared" si="123"/>
        <v>1.6033501382338595</v>
      </c>
    </row>
    <row r="117" spans="1:13" x14ac:dyDescent="0.3">
      <c r="A117" s="17" t="s">
        <v>169</v>
      </c>
      <c r="B117" s="25">
        <f>IFERROR((B25+B26+B30)/B43,"")</f>
        <v>0.92521227955584584</v>
      </c>
      <c r="C117" s="25">
        <f t="shared" ref="C117:M117" si="126">IFERROR((C25+C26+C30)/C43,"")</f>
        <v>0.89153187440532822</v>
      </c>
      <c r="D117" s="25">
        <f t="shared" si="126"/>
        <v>0.78873239436619713</v>
      </c>
      <c r="E117" s="25">
        <f t="shared" si="126"/>
        <v>0.87680250783699065</v>
      </c>
      <c r="F117" s="25">
        <f t="shared" si="126"/>
        <v>0.82866836301950797</v>
      </c>
      <c r="G117" s="25">
        <f t="shared" si="126"/>
        <v>0.8686341081222253</v>
      </c>
      <c r="H117" s="25">
        <f t="shared" si="126"/>
        <v>0.83318264014466548</v>
      </c>
      <c r="I117" s="25">
        <f t="shared" ref="I117:J117" si="127">IFERROR((I25+I26+I30)/I43,"")</f>
        <v>0.91264822134387358</v>
      </c>
      <c r="J117" s="25">
        <f t="shared" si="127"/>
        <v>0.96952078928823104</v>
      </c>
      <c r="K117" s="25">
        <f t="shared" ref="K117:L117" si="128">IFERROR((K25+K26+K30)/K43,"")</f>
        <v>0.8765273311897106</v>
      </c>
      <c r="L117" s="25">
        <f t="shared" si="128"/>
        <v>1.1409160946911334</v>
      </c>
      <c r="M117" s="25">
        <f t="shared" si="126"/>
        <v>1.5361847454870712</v>
      </c>
    </row>
    <row r="118" spans="1:13" x14ac:dyDescent="0.3">
      <c r="A118" s="17" t="s">
        <v>170</v>
      </c>
      <c r="B118" s="25">
        <f>IFERROR(B30/B38,"")</f>
        <v>0.54230118443316411</v>
      </c>
      <c r="C118" s="25">
        <f t="shared" ref="C118:M118" si="129">IFERROR(C30/C38,"")</f>
        <v>0.6059574468085106</v>
      </c>
      <c r="D118" s="25">
        <f t="shared" si="129"/>
        <v>0.47372954349698537</v>
      </c>
      <c r="E118" s="25">
        <f t="shared" si="129"/>
        <v>0.52170062001771489</v>
      </c>
      <c r="F118" s="25">
        <f t="shared" si="129"/>
        <v>0.52104845115170773</v>
      </c>
      <c r="G118" s="25">
        <f t="shared" si="129"/>
        <v>0.43981170141223946</v>
      </c>
      <c r="H118" s="25">
        <f t="shared" si="129"/>
        <v>0.43004866180048662</v>
      </c>
      <c r="I118" s="25">
        <f t="shared" ref="I118:J118" si="130">IFERROR(I30/I38,"")</f>
        <v>0.41509433962264153</v>
      </c>
      <c r="J118" s="25">
        <f t="shared" si="130"/>
        <v>0.41653584510727371</v>
      </c>
      <c r="K118" s="25">
        <f t="shared" ref="K118:L118" si="131">IFERROR(K30/K38,"")</f>
        <v>0.37703583061889245</v>
      </c>
      <c r="L118" s="25">
        <f t="shared" si="131"/>
        <v>0.26125760649087221</v>
      </c>
      <c r="M118" s="25">
        <f t="shared" si="129"/>
        <v>0.31781290046988464</v>
      </c>
    </row>
    <row r="119" spans="1:13" x14ac:dyDescent="0.3">
      <c r="A119" s="17" t="s">
        <v>171</v>
      </c>
      <c r="B119" s="205">
        <f>IFERROR((B30/'Annual Income Statement US$'!B13)*365,"")</f>
        <v>22.458144387794363</v>
      </c>
      <c r="C119" s="205">
        <f>IFERROR((C30/'Annual Income Statement US$'!C13)*365,"")</f>
        <v>21.661145799476401</v>
      </c>
      <c r="D119" s="205">
        <f>IFERROR((D30/'Annual Income Statement US$'!D13)*365,"")</f>
        <v>16.607241187293724</v>
      </c>
      <c r="E119" s="205">
        <f>IFERROR((E30/'Annual Income Statement US$'!E13)*365,"")</f>
        <v>16.816782211523986</v>
      </c>
      <c r="F119" s="205">
        <f>IFERROR((F30/'Annual Income Statement US$'!F13)*365,"")</f>
        <v>16.197414025135625</v>
      </c>
      <c r="G119" s="205">
        <f>IFERROR((G30/'Annual Income Statement US$'!G13)*365,"")</f>
        <v>15.881418721459113</v>
      </c>
      <c r="H119" s="205">
        <f>IFERROR((H30/'Annual Income Statement US$'!H13)*365,"")</f>
        <v>17.356223158670964</v>
      </c>
      <c r="I119" s="205">
        <f>IFERROR((I30/'Annual Income Statement US$'!I13)*365,"")</f>
        <v>18.878106418098433</v>
      </c>
      <c r="J119" s="205">
        <f>IFERROR((J30/'Annual Income Statement US$'!J13)*365,"")</f>
        <v>15.363900532700541</v>
      </c>
      <c r="K119" s="205">
        <f>IFERROR((K30/'Annual Income Statement US$'!K13)*365,"")</f>
        <v>18.04659293894786</v>
      </c>
      <c r="L119" s="205">
        <f>IFERROR((L30/'Annual Income Statement US$'!L13)*365,"")</f>
        <v>39.797636961283303</v>
      </c>
      <c r="M119" s="205">
        <f>IFERROR((M30/'Annual Income Statement US$'!M13)*365,"")</f>
        <v>63.275171132003315</v>
      </c>
    </row>
    <row r="120" spans="1:13" x14ac:dyDescent="0.3">
      <c r="A120" s="17" t="s">
        <v>172</v>
      </c>
      <c r="B120" s="205">
        <f>IFERROR((B38/-('Annual Income Statement US$'!B24+'Annual Income Statement US$'!B27))*365,"")</f>
        <v>45.831843428945206</v>
      </c>
      <c r="C120" s="205">
        <f>IFERROR((C38/-('Annual Income Statement US$'!C24+'Annual Income Statement US$'!C27))*365,"")</f>
        <v>38.775700660018678</v>
      </c>
      <c r="D120" s="205">
        <f>IFERROR((D38/-('Annual Income Statement US$'!D24+'Annual Income Statement US$'!D27))*365,"")</f>
        <v>38.608203719563832</v>
      </c>
      <c r="E120" s="205">
        <f>IFERROR((E38/-('Annual Income Statement US$'!E24+'Annual Income Statement US$'!E27))*365,"")</f>
        <v>35.684232323691546</v>
      </c>
      <c r="F120" s="205">
        <f>IFERROR((F38/-('Annual Income Statement US$'!F24+'Annual Income Statement US$'!F27))*365,"")</f>
        <v>34.62951039710844</v>
      </c>
      <c r="G120" s="205">
        <f>IFERROR((G38/-('Annual Income Statement US$'!G24+'Annual Income Statement US$'!G27))*365,"")</f>
        <v>42.767763858561572</v>
      </c>
      <c r="H120" s="205">
        <f>IFERROR((H38/-('Annual Income Statement US$'!H24+'Annual Income Statement US$'!H27))*365,"")</f>
        <v>47.673662947517514</v>
      </c>
      <c r="I120" s="205">
        <f>IFERROR((I38/-('Annual Income Statement US$'!I24+'Annual Income Statement US$'!I27))*365,"")</f>
        <v>53.166876681797248</v>
      </c>
      <c r="J120" s="205">
        <f>IFERROR((J38/-('Annual Income Statement US$'!J24+'Annual Income Statement US$'!J27))*365,"")</f>
        <v>44.897877807358896</v>
      </c>
      <c r="K120" s="205">
        <f>IFERROR((K38/-('Annual Income Statement US$'!K24+'Annual Income Statement US$'!K27))*365,"")</f>
        <v>59.096082100536044</v>
      </c>
      <c r="L120" s="205">
        <f>IFERROR((L38/-('Annual Income Statement US$'!L24+'Annual Income Statement US$'!L27))*365,"")</f>
        <v>119.28404129740265</v>
      </c>
      <c r="M120" s="205">
        <f>IFERROR((M38/-('Annual Income Statement US$'!M24+'Annual Income Statement US$'!M27))*365,"")</f>
        <v>140.06166719403987</v>
      </c>
    </row>
    <row r="121" spans="1:13" x14ac:dyDescent="0.3">
      <c r="A121" s="17" t="s">
        <v>173</v>
      </c>
      <c r="B121" s="205">
        <f>IFERROR(B28/-'Annual Income Statement US$'!B17*365,"")</f>
        <v>86.520552800960104</v>
      </c>
      <c r="C121" s="205">
        <f>IFERROR(C28/-'Annual Income Statement US$'!C17*365,"")</f>
        <v>95.969465403964747</v>
      </c>
      <c r="D121" s="205">
        <f>IFERROR(D28/-'Annual Income Statement US$'!D17*365,"")</f>
        <v>81.688215580357138</v>
      </c>
      <c r="E121" s="205">
        <f>IFERROR(E28/-'Annual Income Statement US$'!E17*365,"")</f>
        <v>76.074697617341769</v>
      </c>
      <c r="F121" s="205">
        <f>IFERROR(F28/-'Annual Income Statement US$'!F17*365,"")</f>
        <v>73.372690103777472</v>
      </c>
      <c r="G121" s="205">
        <f>IFERROR(G28/-'Annual Income Statement US$'!G17*365,"")</f>
        <v>79.289791350498064</v>
      </c>
      <c r="H121" s="205">
        <f>IFERROR(H28/-'Annual Income Statement US$'!H17*365,"")</f>
        <v>76.155868969019807</v>
      </c>
      <c r="I121" s="205">
        <f>IFERROR(I28/-'Annual Income Statement US$'!I17*365,"")</f>
        <v>82.776149545046934</v>
      </c>
      <c r="J121" s="205">
        <f>IFERROR(J28/-'Annual Income Statement US$'!J17*365,"")</f>
        <v>84.658044213100013</v>
      </c>
      <c r="K121" s="205">
        <f>IFERROR(K28/-'Annual Income Statement US$'!K17*365,"")</f>
        <v>78.727064030253118</v>
      </c>
      <c r="L121" s="205">
        <f>IFERROR(L28/-'Annual Income Statement US$'!L17*365,"")</f>
        <v>87.866711179206391</v>
      </c>
      <c r="M121" s="205">
        <f>IFERROR(M28/-'Annual Income Statement US$'!M17*365,"")</f>
        <v>116.26612177544817</v>
      </c>
    </row>
    <row r="122" spans="1:13" x14ac:dyDescent="0.3">
      <c r="A122" s="8" t="s">
        <v>174</v>
      </c>
      <c r="B122" s="10"/>
      <c r="C122" s="10"/>
      <c r="D122" s="10"/>
      <c r="E122" s="10"/>
      <c r="F122" s="10"/>
      <c r="G122" s="10"/>
      <c r="H122" s="10"/>
      <c r="I122" s="10"/>
      <c r="J122" s="10"/>
      <c r="K122" s="10"/>
      <c r="L122" s="10"/>
      <c r="M122" s="10"/>
    </row>
    <row r="123" spans="1:13" x14ac:dyDescent="0.3">
      <c r="A123" s="17" t="s">
        <v>175</v>
      </c>
      <c r="B123" s="5">
        <f t="shared" ref="B123:M123" si="132">(B66-B16)</f>
        <v>1074.3449999999998</v>
      </c>
      <c r="C123" s="5">
        <f t="shared" si="132"/>
        <v>-4530.8651999999993</v>
      </c>
      <c r="D123" s="5">
        <f t="shared" si="132"/>
        <v>-3978.9009999999998</v>
      </c>
      <c r="E123" s="5">
        <f t="shared" si="132"/>
        <v>-1892.3463599999995</v>
      </c>
      <c r="F123" s="5">
        <f t="shared" si="132"/>
        <v>-1508.8622999999998</v>
      </c>
      <c r="G123" s="5">
        <f t="shared" si="132"/>
        <v>-422.45774999999992</v>
      </c>
      <c r="H123" s="5">
        <f t="shared" si="132"/>
        <v>441.71322160148981</v>
      </c>
      <c r="I123" s="5">
        <f t="shared" ref="I123:J123" si="133">(I66-I16)</f>
        <v>2187.5745764060139</v>
      </c>
      <c r="J123" s="5">
        <f t="shared" si="133"/>
        <v>1882.0245353706014</v>
      </c>
      <c r="K123" s="5">
        <f t="shared" ref="K123:L123" si="134">(K66-K16)</f>
        <v>96.227867590454025</v>
      </c>
      <c r="L123" s="5">
        <f t="shared" si="134"/>
        <v>-2020.8693041062984</v>
      </c>
      <c r="M123" s="5">
        <f t="shared" si="132"/>
        <v>-3406.7441110035493</v>
      </c>
    </row>
    <row r="124" spans="1:13" x14ac:dyDescent="0.3">
      <c r="A124" s="17" t="s">
        <v>176</v>
      </c>
      <c r="B124" s="5">
        <f>'Balance Sheet Reported'!B124/'Balance Sheet US$'!B7</f>
        <v>0</v>
      </c>
      <c r="C124" s="5">
        <f>'Balance Sheet Reported'!C124/'Balance Sheet US$'!C7</f>
        <v>0</v>
      </c>
      <c r="D124" s="5">
        <f>'Balance Sheet Reported'!D124/'Balance Sheet US$'!D7</f>
        <v>0</v>
      </c>
      <c r="E124" s="5">
        <f>'Balance Sheet Reported'!E124/'Balance Sheet US$'!E7</f>
        <v>0</v>
      </c>
      <c r="F124" s="5">
        <f>'Balance Sheet Reported'!F124/'Balance Sheet US$'!F7</f>
        <v>0</v>
      </c>
      <c r="G124" s="5">
        <f>'Balance Sheet Reported'!G124/'Balance Sheet US$'!G7</f>
        <v>0</v>
      </c>
      <c r="H124" s="5">
        <f>'Balance Sheet Reported'!H124/'Balance Sheet US$'!H7</f>
        <v>0</v>
      </c>
      <c r="I124" s="5">
        <f>'Balance Sheet Reported'!I124/'Balance Sheet US$'!I7</f>
        <v>0</v>
      </c>
      <c r="J124" s="5">
        <f>'Balance Sheet Reported'!J124/'Balance Sheet US$'!J7</f>
        <v>0</v>
      </c>
      <c r="K124" s="5">
        <f>'Balance Sheet Reported'!K124/'Balance Sheet US$'!K7</f>
        <v>0</v>
      </c>
      <c r="L124" s="5">
        <f>'Balance Sheet Reported'!L124/'Balance Sheet US$'!L7</f>
        <v>0</v>
      </c>
      <c r="M124" s="5">
        <f>'Balance Sheet Reported'!M124/'Balance Sheet US$'!M7</f>
        <v>0</v>
      </c>
    </row>
    <row r="125" spans="1:13" x14ac:dyDescent="0.3">
      <c r="A125" s="17" t="s">
        <v>177</v>
      </c>
      <c r="B125" s="2">
        <f t="shared" ref="B125:M125" si="135">IFERROR(B124/B66,"N/A")</f>
        <v>0</v>
      </c>
      <c r="C125" s="2">
        <f t="shared" si="135"/>
        <v>0</v>
      </c>
      <c r="D125" s="2">
        <f t="shared" si="135"/>
        <v>0</v>
      </c>
      <c r="E125" s="2">
        <f t="shared" si="135"/>
        <v>0</v>
      </c>
      <c r="F125" s="2">
        <f t="shared" si="135"/>
        <v>0</v>
      </c>
      <c r="G125" s="2">
        <f t="shared" si="135"/>
        <v>0</v>
      </c>
      <c r="H125" s="2">
        <f t="shared" si="135"/>
        <v>0</v>
      </c>
      <c r="I125" s="2">
        <f t="shared" ref="I125:J125" si="136">IFERROR(I124/I66,"N/A")</f>
        <v>0</v>
      </c>
      <c r="J125" s="2">
        <f t="shared" si="136"/>
        <v>0</v>
      </c>
      <c r="K125" s="2">
        <f t="shared" ref="K125:L125" si="137">IFERROR(K124/K66,"N/A")</f>
        <v>0</v>
      </c>
      <c r="L125" s="2">
        <f t="shared" si="137"/>
        <v>0</v>
      </c>
      <c r="M125" s="2">
        <f t="shared" si="135"/>
        <v>0</v>
      </c>
    </row>
    <row r="126" spans="1:13" x14ac:dyDescent="0.3">
      <c r="A126" s="17" t="s">
        <v>178</v>
      </c>
      <c r="B126" s="2">
        <f t="shared" ref="B126:M126" si="138">IFERROR(B124/B123,"N/A")</f>
        <v>0</v>
      </c>
      <c r="C126" s="2">
        <f t="shared" si="138"/>
        <v>0</v>
      </c>
      <c r="D126" s="2">
        <f t="shared" si="138"/>
        <v>0</v>
      </c>
      <c r="E126" s="2">
        <f t="shared" si="138"/>
        <v>0</v>
      </c>
      <c r="F126" s="2">
        <f t="shared" si="138"/>
        <v>0</v>
      </c>
      <c r="G126" s="2">
        <f t="shared" si="138"/>
        <v>0</v>
      </c>
      <c r="H126" s="2">
        <f t="shared" si="138"/>
        <v>0</v>
      </c>
      <c r="I126" s="2">
        <f t="shared" ref="I126:J126" si="139">IFERROR(I124/I123,"N/A")</f>
        <v>0</v>
      </c>
      <c r="J126" s="2">
        <f t="shared" si="139"/>
        <v>0</v>
      </c>
      <c r="K126" s="2">
        <f t="shared" ref="K126:L126" si="140">IFERROR(K124/K123,"N/A")</f>
        <v>0</v>
      </c>
      <c r="L126" s="2">
        <f t="shared" si="140"/>
        <v>0</v>
      </c>
      <c r="M126" s="2">
        <f t="shared" si="138"/>
        <v>0</v>
      </c>
    </row>
    <row r="127" spans="1:13" x14ac:dyDescent="0.3">
      <c r="A127" s="17" t="s">
        <v>179</v>
      </c>
      <c r="B127" s="5">
        <f t="shared" ref="B127:M127" si="141">B124+B72</f>
        <v>2276.3249999999994</v>
      </c>
      <c r="C127" s="5">
        <f t="shared" si="141"/>
        <v>2183.7028</v>
      </c>
      <c r="D127" s="5">
        <f t="shared" si="141"/>
        <v>1934.7869999999996</v>
      </c>
      <c r="E127" s="5">
        <f t="shared" si="141"/>
        <v>1998.6262500000003</v>
      </c>
      <c r="F127" s="5">
        <f t="shared" si="141"/>
        <v>2537.2007000000003</v>
      </c>
      <c r="G127" s="5">
        <f t="shared" si="141"/>
        <v>2687.8423000000003</v>
      </c>
      <c r="H127" s="5">
        <f t="shared" si="141"/>
        <v>2710.6145251396647</v>
      </c>
      <c r="I127" s="5">
        <f t="shared" ref="I127:J127" si="142">I124+I72</f>
        <v>1841.5400525017903</v>
      </c>
      <c r="J127" s="5">
        <f t="shared" si="142"/>
        <v>3830.1623448174537</v>
      </c>
      <c r="K127" s="5">
        <f t="shared" ref="K127:L127" si="143">K124+K72</f>
        <v>2581.2163202463435</v>
      </c>
      <c r="L127" s="5">
        <f t="shared" si="143"/>
        <v>4119.8108250131354</v>
      </c>
      <c r="M127" s="5">
        <f t="shared" si="141"/>
        <v>6437.5605033881884</v>
      </c>
    </row>
    <row r="128" spans="1:13" x14ac:dyDescent="0.3">
      <c r="A128" s="17" t="s">
        <v>180</v>
      </c>
      <c r="B128" s="5">
        <f t="shared" ref="B128:M128" si="144">B124+B75</f>
        <v>4627.3476268940676</v>
      </c>
      <c r="C128" s="5">
        <f t="shared" si="144"/>
        <v>4555.1923381410361</v>
      </c>
      <c r="D128" s="5">
        <f t="shared" si="144"/>
        <v>4287.6340249289742</v>
      </c>
      <c r="E128" s="5">
        <f t="shared" si="144"/>
        <v>4160.2110237424749</v>
      </c>
      <c r="F128" s="5">
        <f t="shared" si="144"/>
        <v>4642.5144311425011</v>
      </c>
      <c r="G128" s="5">
        <f t="shared" si="144"/>
        <v>4621.8920640161869</v>
      </c>
      <c r="H128" s="5">
        <f t="shared" si="144"/>
        <v>5150.9272232169942</v>
      </c>
      <c r="I128" s="5">
        <f t="shared" ref="I128:J128" si="145">I124+I75</f>
        <v>4553.9056319526881</v>
      </c>
      <c r="J128" s="5">
        <f t="shared" si="145"/>
        <v>3830.1623448174537</v>
      </c>
      <c r="K128" s="5">
        <f t="shared" ref="K128:L128" si="146">K124+K75</f>
        <v>2581.2163202463435</v>
      </c>
      <c r="L128" s="5">
        <f t="shared" si="146"/>
        <v>4119.8108250131354</v>
      </c>
      <c r="M128" s="5">
        <f t="shared" si="144"/>
        <v>6437.5605033881884</v>
      </c>
    </row>
    <row r="129" spans="1:13" x14ac:dyDescent="0.3">
      <c r="A129" s="85" t="s">
        <v>471</v>
      </c>
      <c r="B129" s="25">
        <f>IFERROR(B127/'Annual Income Statement US$'!B28,"")</f>
        <v>2.2548531266826943</v>
      </c>
      <c r="C129" s="25">
        <f>IFERROR(C127/'Annual Income Statement US$'!C28,"")</f>
        <v>2.380717574116864</v>
      </c>
      <c r="D129" s="25">
        <f>IFERROR(D127/'Annual Income Statement US$'!D28,"")</f>
        <v>1.7346102929865443</v>
      </c>
      <c r="E129" s="25">
        <f>IFERROR(E127/'Annual Income Statement US$'!E28,"")</f>
        <v>1.7194530595238111</v>
      </c>
      <c r="F129" s="25">
        <f>IFERROR(F127/'Annual Income Statement US$'!F28,"")</f>
        <v>1.9443775909351999</v>
      </c>
      <c r="G129" s="25">
        <f>IFERROR(G127/'Annual Income Statement US$'!G28,"")</f>
        <v>1.5905826575956465</v>
      </c>
      <c r="H129" s="25">
        <f>IFERROR(H127/'Annual Income Statement US$'!H28,"")</f>
        <v>1.5951220218899145</v>
      </c>
      <c r="I129" s="25">
        <f>IFERROR(I127/'Annual Income Statement US$'!I28,"")</f>
        <v>1.0172579844681868</v>
      </c>
      <c r="J129" s="25">
        <f>IFERROR(J127/'Annual Income Statement US$'!J28,"")</f>
        <v>1.5449012956857413</v>
      </c>
      <c r="K129" s="25">
        <f>IFERROR(K127/'Annual Income Statement US$'!K28,"")</f>
        <v>0.94197357957504735</v>
      </c>
      <c r="L129" s="25">
        <f>IFERROR(L127/'Annual Income Statement US$'!L28,"")</f>
        <v>-3.3538472344344243</v>
      </c>
      <c r="M129" s="25">
        <f>IFERROR(M127/'Annual Income Statement US$'!M28,"")</f>
        <v>-4.4115124378363619</v>
      </c>
    </row>
    <row r="130" spans="1:13" x14ac:dyDescent="0.3">
      <c r="A130" s="85" t="s">
        <v>472</v>
      </c>
      <c r="B130" s="25">
        <f>IFERROR(B128/'Annual Income Statement US$'!B26,"")</f>
        <v>3.4394280315656593</v>
      </c>
      <c r="C130" s="25">
        <f>IFERROR(C128/'Annual Income Statement US$'!C26,"")</f>
        <v>3.6266592912431515</v>
      </c>
      <c r="D130" s="25">
        <f>IFERROR(D128/'Annual Income Statement US$'!D26,"")</f>
        <v>2.9538873030186044</v>
      </c>
      <c r="E130" s="25">
        <f>IFERROR(E128/'Annual Income Statement US$'!E26,"")</f>
        <v>2.8278450905940615</v>
      </c>
      <c r="F130" s="25">
        <f>IFERROR(F128/'Annual Income Statement US$'!F26,"")</f>
        <v>2.8913613216576914</v>
      </c>
      <c r="G130" s="25">
        <f>IFERROR(G128/'Annual Income Statement US$'!G26,"")</f>
        <v>2.3507436137535835</v>
      </c>
      <c r="H130" s="25">
        <f>IFERROR(H128/'Annual Income Statement US$'!H26,"")</f>
        <v>2.5151859960560379</v>
      </c>
      <c r="I130" s="25">
        <f>IFERROR(I128/'Annual Income Statement US$'!I26,"")</f>
        <v>2.0720491635121756</v>
      </c>
      <c r="J130" s="25">
        <f>IFERROR(J128/'Annual Income Statement US$'!J26,"")</f>
        <v>1.5449012956857413</v>
      </c>
      <c r="K130" s="25">
        <f>IFERROR(K128/'Annual Income Statement US$'!K26,"")</f>
        <v>0.94197357957504735</v>
      </c>
      <c r="L130" s="25">
        <f>IFERROR(L128/'Annual Income Statement US$'!L26,"")</f>
        <v>-3.3538472344344243</v>
      </c>
      <c r="M130" s="25">
        <f>IFERROR(M128/'Annual Income Statement US$'!M26,"")</f>
        <v>-4.4115124378363619</v>
      </c>
    </row>
    <row r="131" spans="1:13" x14ac:dyDescent="0.3">
      <c r="A131" s="8" t="s">
        <v>181</v>
      </c>
      <c r="B131" s="10"/>
      <c r="C131" s="10"/>
      <c r="D131" s="10"/>
      <c r="E131" s="10"/>
      <c r="F131" s="10"/>
      <c r="G131" s="10"/>
      <c r="H131" s="10"/>
      <c r="I131" s="10"/>
      <c r="J131" s="10"/>
      <c r="K131" s="10"/>
      <c r="L131" s="10"/>
      <c r="M131" s="10"/>
    </row>
    <row r="132" spans="1:13" x14ac:dyDescent="0.3">
      <c r="A132" s="17" t="s">
        <v>182</v>
      </c>
      <c r="B132" s="2"/>
      <c r="C132" s="2"/>
      <c r="D132" s="2"/>
      <c r="E132" s="2"/>
      <c r="F132" s="2"/>
      <c r="G132" s="2"/>
      <c r="H132" s="2"/>
      <c r="I132" s="2"/>
      <c r="J132" s="2"/>
      <c r="K132" s="2"/>
      <c r="L132" s="2"/>
    </row>
    <row r="133" spans="1:13" x14ac:dyDescent="0.3">
      <c r="A133" s="17" t="s">
        <v>183</v>
      </c>
      <c r="B133" s="5"/>
      <c r="C133" s="5"/>
      <c r="D133" s="5"/>
      <c r="E133" s="5"/>
      <c r="F133" s="5"/>
      <c r="G133" s="5"/>
      <c r="H133" s="5"/>
      <c r="I133" s="5"/>
      <c r="J133" s="5"/>
      <c r="K133" s="5"/>
      <c r="L133" s="5"/>
    </row>
    <row r="134" spans="1:13" x14ac:dyDescent="0.3">
      <c r="A134" s="17"/>
      <c r="B134" s="1"/>
      <c r="C134" s="1"/>
      <c r="D134" s="1"/>
      <c r="E134" s="1"/>
      <c r="F134" s="1"/>
      <c r="G134" s="1"/>
      <c r="H134" s="39"/>
      <c r="I134" s="218"/>
      <c r="J134" s="218"/>
      <c r="K134" s="218"/>
      <c r="L134" s="218"/>
    </row>
  </sheetData>
  <mergeCells count="1">
    <mergeCell ref="A1:M1"/>
  </mergeCells>
  <pageMargins left="0.70866141732283472" right="0.70866141732283472" top="0.74803149606299213" bottom="0.74803149606299213" header="0.31496062992125984" footer="0.31496062992125984"/>
  <pageSetup paperSize="9" scale="50" orientation="portrait" r:id="rId1"/>
  <headerFooter alignWithMargins="0"/>
  <rowBreaks count="1" manualBreakCount="1">
    <brk id="68" max="8" man="1"/>
  </rowBreaks>
  <ignoredErrors>
    <ignoredError sqref="D13:G13" formulaRange="1"/>
  </ignoredError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tint="0.79998168889431442"/>
  </sheetPr>
  <dimension ref="A1:AC134"/>
  <sheetViews>
    <sheetView view="pageBreakPreview" zoomScale="70" zoomScaleNormal="100" zoomScaleSheetLayoutView="70" workbookViewId="0">
      <pane xSplit="1" ySplit="7" topLeftCell="N35" activePane="bottomRight" state="frozen"/>
      <selection pane="topRight" activeCell="B1" sqref="B1"/>
      <selection pane="bottomLeft" activeCell="A8" sqref="A8"/>
      <selection pane="bottomRight" activeCell="AB64" sqref="AB64"/>
    </sheetView>
  </sheetViews>
  <sheetFormatPr defaultColWidth="8.88671875" defaultRowHeight="14.4" x14ac:dyDescent="0.3"/>
  <cols>
    <col min="1" max="1" width="51.33203125" style="13" bestFit="1" customWidth="1"/>
    <col min="2" max="10" width="11.5546875" style="13" bestFit="1" customWidth="1"/>
    <col min="11" max="13" width="11.5546875" style="13" customWidth="1"/>
    <col min="14" max="14" width="11.5546875" style="13" bestFit="1" customWidth="1"/>
    <col min="15" max="17" width="11.5546875" style="13" customWidth="1"/>
    <col min="18" max="21" width="11.5546875" style="13" bestFit="1" customWidth="1"/>
    <col min="22" max="22" width="10.109375" style="13" customWidth="1"/>
    <col min="23" max="23" width="10.33203125" style="13" customWidth="1"/>
    <col min="24" max="25" width="10.109375" style="13" customWidth="1"/>
    <col min="26" max="28" width="10" style="13" bestFit="1" customWidth="1"/>
    <col min="29" max="16384" width="8.88671875" style="13"/>
  </cols>
  <sheetData>
    <row r="1" spans="1:28" ht="28.8" x14ac:dyDescent="0.55000000000000004">
      <c r="A1" s="349" t="str">
        <f>IF(Inputs!$E$14 = "Semi-annual",(Inputs!$E$9 &amp; " - Semi-annual Balance Sheet (Reported)"), (Inputs!$E$9 &amp; " - Qtrly Balance Sheet (Reported)"))</f>
        <v>Air Canada - Qtrly Balance Sheet (Reported)</v>
      </c>
      <c r="B1" s="349"/>
      <c r="C1" s="349"/>
      <c r="D1" s="349"/>
      <c r="E1" s="349"/>
      <c r="F1" s="349"/>
      <c r="G1" s="349"/>
      <c r="H1" s="349"/>
      <c r="I1" s="349"/>
      <c r="J1" s="349"/>
      <c r="K1" s="349"/>
      <c r="L1" s="349"/>
      <c r="M1" s="349"/>
      <c r="N1" s="349"/>
      <c r="O1" s="349"/>
      <c r="P1" s="349"/>
      <c r="Q1" s="349"/>
      <c r="R1" s="349"/>
      <c r="S1" s="349"/>
      <c r="T1" s="349"/>
      <c r="U1" s="69"/>
      <c r="V1" s="69"/>
      <c r="W1" s="69"/>
      <c r="X1" s="69"/>
      <c r="Y1" s="69"/>
      <c r="Z1" s="69"/>
    </row>
    <row r="2" spans="1:28" x14ac:dyDescent="0.3">
      <c r="A2" s="3"/>
      <c r="B2" s="3" t="str">
        <f>'Interim Operational Data'!B2</f>
        <v>Q1</v>
      </c>
      <c r="C2" s="3" t="str">
        <f>'Interim Operational Data'!C2</f>
        <v>Q2</v>
      </c>
      <c r="D2" s="3" t="str">
        <f>'Interim Operational Data'!D2</f>
        <v>Q3</v>
      </c>
      <c r="E2" s="3" t="str">
        <f>'Interim Operational Data'!E2</f>
        <v>Q4</v>
      </c>
      <c r="F2" s="3" t="str">
        <f>'Interim Operational Data'!F2</f>
        <v>Q1</v>
      </c>
      <c r="G2" s="3" t="str">
        <f>'Interim Operational Data'!G2</f>
        <v>Q2</v>
      </c>
      <c r="H2" s="3" t="str">
        <f>'Interim Operational Data'!H2</f>
        <v>Q3</v>
      </c>
      <c r="I2" s="3" t="str">
        <f>'Interim Operational Data'!I2</f>
        <v>Q4</v>
      </c>
      <c r="J2" s="3" t="str">
        <f>'Interim Operational Data'!J2</f>
        <v>Q1</v>
      </c>
      <c r="K2" s="3" t="str">
        <f>'Interim Operational Data'!K2</f>
        <v>Q2</v>
      </c>
      <c r="L2" s="3" t="str">
        <f>'Interim Operational Data'!L2</f>
        <v>Q3</v>
      </c>
      <c r="M2" s="3" t="str">
        <f>'Interim Operational Data'!M2</f>
        <v>Q4</v>
      </c>
      <c r="N2" s="3" t="str">
        <f>'Interim Operational Data'!N2</f>
        <v>Q1</v>
      </c>
      <c r="O2" s="3" t="str">
        <f>'Interim Operational Data'!O2</f>
        <v>Q2</v>
      </c>
      <c r="P2" s="3" t="str">
        <f>'Interim Operational Data'!P2</f>
        <v>Q3</v>
      </c>
      <c r="Q2" s="3" t="str">
        <f>'Interim Operational Data'!Q2</f>
        <v>Q4</v>
      </c>
      <c r="R2" s="3" t="str">
        <f>'Interim Operational Data'!R2</f>
        <v>Q1</v>
      </c>
      <c r="S2" s="3" t="str">
        <f>'Interim Operational Data'!S2</f>
        <v>Q2</v>
      </c>
      <c r="T2" s="3" t="str">
        <f>'Interim Operational Data'!T2</f>
        <v>Q3</v>
      </c>
      <c r="U2" s="3" t="str">
        <f>'Interim Operational Data'!U2</f>
        <v>Q4</v>
      </c>
      <c r="V2" s="3" t="str">
        <f>'Interim Operational Data'!V2</f>
        <v>Q1</v>
      </c>
      <c r="W2" s="3" t="str">
        <f>'Interim Operational Data'!W2</f>
        <v>Q2</v>
      </c>
      <c r="X2" s="3" t="str">
        <f>'Interim Operational Data'!X2</f>
        <v>Q3</v>
      </c>
      <c r="Y2" s="3" t="str">
        <f>'Interim Operational Data'!Y2</f>
        <v>Q4</v>
      </c>
      <c r="Z2" s="3" t="str">
        <f>'Interim Operational Data'!Z2</f>
        <v>Q1</v>
      </c>
      <c r="AA2" s="3" t="str">
        <f>'Interim Operational Data'!AA2</f>
        <v>Q2</v>
      </c>
      <c r="AB2" s="3" t="str">
        <f>'Interim Operational Data'!AB2</f>
        <v>Q3</v>
      </c>
    </row>
    <row r="3" spans="1:28" x14ac:dyDescent="0.3">
      <c r="A3" s="3"/>
      <c r="B3" s="7">
        <f>'Interim Operational Data'!B3</f>
        <v>42094</v>
      </c>
      <c r="C3" s="7">
        <f>'Interim Operational Data'!C3</f>
        <v>42185</v>
      </c>
      <c r="D3" s="7">
        <f>'Interim Operational Data'!D3</f>
        <v>42277</v>
      </c>
      <c r="E3" s="7">
        <f>'Interim Operational Data'!E3</f>
        <v>42369</v>
      </c>
      <c r="F3" s="7">
        <f>'Interim Operational Data'!F3</f>
        <v>42460</v>
      </c>
      <c r="G3" s="7">
        <f>'Interim Operational Data'!G3</f>
        <v>42551</v>
      </c>
      <c r="H3" s="7">
        <f>'Interim Operational Data'!H3</f>
        <v>42643</v>
      </c>
      <c r="I3" s="7">
        <f>'Interim Operational Data'!I3</f>
        <v>42735</v>
      </c>
      <c r="J3" s="7">
        <f>'Interim Operational Data'!J3</f>
        <v>42825</v>
      </c>
      <c r="K3" s="7">
        <f>'Interim Operational Data'!K3</f>
        <v>42916</v>
      </c>
      <c r="L3" s="7">
        <f>'Interim Operational Data'!L3</f>
        <v>43008</v>
      </c>
      <c r="M3" s="7">
        <f>'Interim Operational Data'!M3</f>
        <v>43100</v>
      </c>
      <c r="N3" s="7">
        <f>'Interim Operational Data'!N3</f>
        <v>43190</v>
      </c>
      <c r="O3" s="7">
        <f>'Interim Operational Data'!O3</f>
        <v>43281</v>
      </c>
      <c r="P3" s="7">
        <f>'Interim Operational Data'!P3</f>
        <v>43373</v>
      </c>
      <c r="Q3" s="7">
        <f>'Interim Operational Data'!Q3</f>
        <v>43465</v>
      </c>
      <c r="R3" s="7">
        <f>'Interim Operational Data'!R3</f>
        <v>43555</v>
      </c>
      <c r="S3" s="7">
        <f>'Interim Operational Data'!S3</f>
        <v>43646</v>
      </c>
      <c r="T3" s="7">
        <f>'Interim Operational Data'!T3</f>
        <v>43738</v>
      </c>
      <c r="U3" s="7">
        <f>'Interim Operational Data'!U3</f>
        <v>43830</v>
      </c>
      <c r="V3" s="7">
        <f>'Interim Operational Data'!V3</f>
        <v>43921</v>
      </c>
      <c r="W3" s="7">
        <f>'Interim Operational Data'!W3</f>
        <v>44012</v>
      </c>
      <c r="X3" s="7">
        <f>'Interim Operational Data'!X3</f>
        <v>44104</v>
      </c>
      <c r="Y3" s="7">
        <f>'Interim Operational Data'!Y3</f>
        <v>44196</v>
      </c>
      <c r="Z3" s="7">
        <f>'Interim Operational Data'!Z3</f>
        <v>44286</v>
      </c>
      <c r="AA3" s="7">
        <f>'Interim Operational Data'!AA3</f>
        <v>44377</v>
      </c>
      <c r="AB3" s="7">
        <f>'Interim Operational Data'!AB3</f>
        <v>44469</v>
      </c>
    </row>
    <row r="4" spans="1:28" x14ac:dyDescent="0.3">
      <c r="A4" s="3"/>
      <c r="B4" s="66" t="s">
        <v>1</v>
      </c>
      <c r="C4" s="66" t="s">
        <v>1</v>
      </c>
      <c r="D4" s="66" t="s">
        <v>1</v>
      </c>
      <c r="E4" s="66" t="s">
        <v>1</v>
      </c>
      <c r="F4" s="66" t="s">
        <v>1</v>
      </c>
      <c r="G4" s="66" t="s">
        <v>1</v>
      </c>
      <c r="H4" s="3" t="s">
        <v>1</v>
      </c>
      <c r="I4" s="3" t="s">
        <v>1</v>
      </c>
      <c r="J4" s="3" t="s">
        <v>1</v>
      </c>
      <c r="K4" s="3" t="s">
        <v>1</v>
      </c>
      <c r="L4" s="3" t="s">
        <v>1</v>
      </c>
      <c r="M4" s="3" t="s">
        <v>1</v>
      </c>
      <c r="N4" s="3" t="s">
        <v>1</v>
      </c>
      <c r="O4" s="3" t="s">
        <v>1</v>
      </c>
      <c r="P4" s="3" t="s">
        <v>1</v>
      </c>
      <c r="Q4" s="3" t="s">
        <v>1</v>
      </c>
      <c r="R4" s="3" t="s">
        <v>1</v>
      </c>
      <c r="S4" s="3" t="s">
        <v>1</v>
      </c>
      <c r="T4" s="3" t="s">
        <v>1</v>
      </c>
      <c r="U4" s="3" t="s">
        <v>1</v>
      </c>
      <c r="V4" s="3" t="s">
        <v>1</v>
      </c>
      <c r="W4" s="3" t="s">
        <v>1</v>
      </c>
      <c r="X4" s="3" t="s">
        <v>1</v>
      </c>
      <c r="Y4" s="3" t="s">
        <v>1</v>
      </c>
      <c r="Z4" s="3" t="s">
        <v>1</v>
      </c>
      <c r="AA4" s="3" t="s">
        <v>1</v>
      </c>
      <c r="AB4" s="3" t="s">
        <v>1</v>
      </c>
    </row>
    <row r="5" spans="1:28" x14ac:dyDescent="0.3">
      <c r="A5" s="3"/>
      <c r="B5" s="66" t="str">
        <f>Inputs!$E$18&amp;"m"</f>
        <v>CADm</v>
      </c>
      <c r="C5" s="66" t="str">
        <f>Inputs!$E$18&amp;"m"</f>
        <v>CADm</v>
      </c>
      <c r="D5" s="66" t="str">
        <f>Inputs!$E$18&amp;"m"</f>
        <v>CADm</v>
      </c>
      <c r="E5" s="66" t="str">
        <f>Inputs!$E$18&amp;"m"</f>
        <v>CADm</v>
      </c>
      <c r="F5" s="66" t="str">
        <f>Inputs!$E$18&amp;"m"</f>
        <v>CADm</v>
      </c>
      <c r="G5" s="66" t="str">
        <f>Inputs!$E$18&amp;"m"</f>
        <v>CADm</v>
      </c>
      <c r="H5" s="66" t="str">
        <f>Inputs!$E$18&amp;"m"</f>
        <v>CADm</v>
      </c>
      <c r="I5" s="66" t="str">
        <f>Inputs!$E$18&amp;"m"</f>
        <v>CADm</v>
      </c>
      <c r="J5" s="66" t="str">
        <f>Inputs!$E$18&amp;"m"</f>
        <v>CADm</v>
      </c>
      <c r="K5" s="66" t="str">
        <f>Inputs!$E$18&amp;"m"</f>
        <v>CADm</v>
      </c>
      <c r="L5" s="66" t="str">
        <f>Inputs!$E$18&amp;"m"</f>
        <v>CADm</v>
      </c>
      <c r="M5" s="66" t="str">
        <f>Inputs!$E$18&amp;"m"</f>
        <v>CADm</v>
      </c>
      <c r="N5" s="66" t="str">
        <f>Inputs!$E$18&amp;"m"</f>
        <v>CADm</v>
      </c>
      <c r="O5" s="66" t="str">
        <f>Inputs!$E$18&amp;"m"</f>
        <v>CADm</v>
      </c>
      <c r="P5" s="66" t="str">
        <f>Inputs!$E$18&amp;"m"</f>
        <v>CADm</v>
      </c>
      <c r="Q5" s="66" t="str">
        <f>Inputs!$E$18&amp;"m"</f>
        <v>CADm</v>
      </c>
      <c r="R5" s="66" t="str">
        <f>Inputs!$E$18&amp;"m"</f>
        <v>CADm</v>
      </c>
      <c r="S5" s="66" t="str">
        <f>Inputs!$E$18&amp;"m"</f>
        <v>CADm</v>
      </c>
      <c r="T5" s="66" t="str">
        <f>Inputs!$E$18&amp;"m"</f>
        <v>CADm</v>
      </c>
      <c r="U5" s="66" t="str">
        <f>Inputs!$E$18&amp;"m"</f>
        <v>CADm</v>
      </c>
      <c r="V5" s="66" t="str">
        <f>Inputs!$E$18&amp;"m"</f>
        <v>CADm</v>
      </c>
      <c r="W5" s="66" t="str">
        <f>Inputs!$E$18&amp;"m"</f>
        <v>CADm</v>
      </c>
      <c r="X5" s="66" t="str">
        <f>Inputs!$E$18&amp;"m"</f>
        <v>CADm</v>
      </c>
      <c r="Y5" s="66" t="str">
        <f>Inputs!$E$18&amp;"m"</f>
        <v>CADm</v>
      </c>
      <c r="Z5" s="66" t="str">
        <f>Inputs!$E$18&amp;"m"</f>
        <v>CADm</v>
      </c>
      <c r="AA5" s="66" t="str">
        <f>Inputs!$E$18&amp;"m"</f>
        <v>CADm</v>
      </c>
      <c r="AB5" s="66" t="str">
        <f>Inputs!$E$18&amp;"m"</f>
        <v>CADm</v>
      </c>
    </row>
    <row r="6" spans="1:28" x14ac:dyDescent="0.3">
      <c r="A6" s="3"/>
      <c r="B6" s="3"/>
      <c r="C6" s="3"/>
      <c r="D6" s="3"/>
      <c r="E6" s="3"/>
      <c r="F6" s="3"/>
      <c r="G6" s="3"/>
      <c r="H6" s="3"/>
      <c r="I6" s="3"/>
      <c r="J6" s="3"/>
      <c r="K6" s="3"/>
      <c r="L6" s="3"/>
      <c r="M6" s="3"/>
      <c r="N6" s="3"/>
      <c r="O6" s="3"/>
      <c r="P6" s="3"/>
      <c r="Q6" s="3"/>
      <c r="R6" s="3"/>
      <c r="S6" s="3"/>
      <c r="T6" s="3"/>
      <c r="U6" s="3"/>
      <c r="V6" s="3"/>
      <c r="W6" s="3"/>
      <c r="X6" s="3"/>
      <c r="Y6" s="3"/>
      <c r="Z6" s="3"/>
      <c r="AA6" s="3"/>
      <c r="AB6" s="3"/>
    </row>
    <row r="7" spans="1:28" x14ac:dyDescent="0.3">
      <c r="A7" s="3"/>
      <c r="B7" s="20"/>
      <c r="C7" s="20"/>
      <c r="D7" s="20"/>
      <c r="E7" s="20"/>
      <c r="F7" s="20"/>
      <c r="G7" s="20"/>
      <c r="H7" s="20"/>
      <c r="I7" s="20"/>
      <c r="J7" s="20"/>
      <c r="K7" s="20"/>
      <c r="L7" s="20"/>
      <c r="M7" s="20"/>
      <c r="N7" s="20"/>
      <c r="O7" s="20"/>
      <c r="P7" s="20"/>
      <c r="Q7" s="20"/>
      <c r="R7" s="20"/>
      <c r="S7" s="20"/>
      <c r="T7" s="20"/>
      <c r="U7" s="20"/>
      <c r="V7" s="20"/>
      <c r="W7" s="20"/>
      <c r="X7" s="20"/>
      <c r="Y7" s="20"/>
      <c r="Z7" s="20"/>
      <c r="AA7" s="20"/>
      <c r="AB7" s="20"/>
    </row>
    <row r="8" spans="1:28" x14ac:dyDescent="0.3">
      <c r="A8" s="85" t="s">
        <v>75</v>
      </c>
      <c r="B8" s="32">
        <v>6241</v>
      </c>
      <c r="C8" s="32">
        <v>6277</v>
      </c>
      <c r="D8" s="32">
        <v>6648</v>
      </c>
      <c r="E8" s="32">
        <f>'Balance Sheet Reported'!G8</f>
        <v>5408</v>
      </c>
      <c r="F8" s="32">
        <v>7727</v>
      </c>
      <c r="G8" s="32">
        <v>8611</v>
      </c>
      <c r="H8" s="32">
        <v>8503</v>
      </c>
      <c r="I8" s="32">
        <f>'Balance Sheet Reported'!H8</f>
        <v>6796</v>
      </c>
      <c r="J8" s="32">
        <v>8845</v>
      </c>
      <c r="K8" s="32">
        <v>9133</v>
      </c>
      <c r="L8" s="32">
        <v>9072</v>
      </c>
      <c r="M8" s="32">
        <f>'Balance Sheet Reported'!I8</f>
        <v>7543</v>
      </c>
      <c r="N8" s="32">
        <v>9852</v>
      </c>
      <c r="O8" s="32">
        <v>9911</v>
      </c>
      <c r="P8" s="32">
        <v>9810</v>
      </c>
      <c r="Q8" s="32">
        <f>'Balance Sheet Reported'!J8</f>
        <v>8109</v>
      </c>
      <c r="R8" s="32">
        <v>12879</v>
      </c>
      <c r="S8" s="32">
        <v>13076</v>
      </c>
      <c r="T8" s="32">
        <v>12857</v>
      </c>
      <c r="U8" s="32">
        <f>'Balance Sheet Reported'!K8</f>
        <v>8304</v>
      </c>
      <c r="V8" s="32">
        <v>10002</v>
      </c>
      <c r="W8" s="32">
        <f>8194</f>
        <v>8194</v>
      </c>
      <c r="X8" s="32">
        <v>8185</v>
      </c>
      <c r="Y8" s="32">
        <f>'Balance Sheet Reported'!L8</f>
        <v>7832</v>
      </c>
      <c r="Z8" s="32">
        <v>12099</v>
      </c>
      <c r="AA8" s="32">
        <v>11977</v>
      </c>
      <c r="AB8" s="32">
        <v>11735</v>
      </c>
    </row>
    <row r="9" spans="1:28" x14ac:dyDescent="0.3">
      <c r="A9" s="85" t="s">
        <v>76</v>
      </c>
      <c r="B9" s="32"/>
      <c r="C9" s="32"/>
      <c r="D9" s="32"/>
      <c r="E9" s="32">
        <f>'Balance Sheet Reported'!G9</f>
        <v>252</v>
      </c>
      <c r="F9" s="32"/>
      <c r="G9" s="32"/>
      <c r="H9" s="32"/>
      <c r="I9" s="32">
        <f>'Balance Sheet Reported'!H9</f>
        <v>234</v>
      </c>
      <c r="J9" s="32"/>
      <c r="K9" s="32"/>
      <c r="L9" s="32"/>
      <c r="M9" s="32">
        <f>'Balance Sheet Reported'!I9</f>
        <v>0</v>
      </c>
      <c r="N9" s="32"/>
      <c r="O9" s="32"/>
      <c r="P9" s="32"/>
      <c r="Q9" s="32">
        <f>'Balance Sheet Reported'!J9</f>
        <v>2540</v>
      </c>
      <c r="R9" s="32"/>
      <c r="S9" s="32"/>
      <c r="T9" s="32"/>
      <c r="U9" s="32">
        <f>'Balance Sheet Reported'!K9</f>
        <v>2822</v>
      </c>
      <c r="V9" s="32">
        <v>2870</v>
      </c>
      <c r="W9" s="32">
        <f>1520+781</f>
        <v>2301</v>
      </c>
      <c r="X9" s="32">
        <v>2471</v>
      </c>
      <c r="Y9" s="32">
        <f>'Balance Sheet Reported'!L9</f>
        <v>2845</v>
      </c>
      <c r="Z9" s="32"/>
      <c r="AA9" s="32"/>
      <c r="AB9" s="32"/>
    </row>
    <row r="10" spans="1:28" x14ac:dyDescent="0.3">
      <c r="A10" s="85" t="s">
        <v>77</v>
      </c>
      <c r="B10" s="32"/>
      <c r="C10" s="32"/>
      <c r="D10" s="32"/>
      <c r="E10" s="32">
        <f>'Balance Sheet Reported'!G10</f>
        <v>770</v>
      </c>
      <c r="F10" s="32"/>
      <c r="G10" s="32"/>
      <c r="H10" s="32"/>
      <c r="I10" s="32">
        <f>'Balance Sheet Reported'!H10</f>
        <v>897</v>
      </c>
      <c r="J10" s="32"/>
      <c r="K10" s="32"/>
      <c r="L10" s="32"/>
      <c r="M10" s="32">
        <f>'Balance Sheet Reported'!I10</f>
        <v>1063</v>
      </c>
      <c r="N10" s="32"/>
      <c r="O10" s="32"/>
      <c r="P10" s="32"/>
      <c r="Q10" s="32">
        <f>'Balance Sheet Reported'!J10</f>
        <v>933</v>
      </c>
      <c r="R10" s="32"/>
      <c r="S10" s="32"/>
      <c r="T10" s="32"/>
      <c r="U10" s="32">
        <f>'Balance Sheet Reported'!K10</f>
        <v>1041</v>
      </c>
      <c r="V10" s="32"/>
      <c r="W10" s="32">
        <f>794</f>
        <v>794</v>
      </c>
      <c r="X10" s="32">
        <v>795</v>
      </c>
      <c r="Y10" s="32">
        <f>'Balance Sheet Reported'!L10</f>
        <v>754</v>
      </c>
      <c r="Z10" s="32"/>
      <c r="AA10" s="32"/>
      <c r="AB10" s="32"/>
    </row>
    <row r="11" spans="1:28" x14ac:dyDescent="0.3">
      <c r="A11" s="85" t="s">
        <v>78</v>
      </c>
      <c r="B11" s="32"/>
      <c r="C11" s="32"/>
      <c r="D11" s="32"/>
      <c r="E11" s="32">
        <f>'Balance Sheet Reported'!G11</f>
        <v>410</v>
      </c>
      <c r="F11" s="32"/>
      <c r="G11" s="32"/>
      <c r="H11" s="32"/>
      <c r="I11" s="32">
        <f>'Balance Sheet Reported'!H11</f>
        <v>409</v>
      </c>
      <c r="J11" s="32"/>
      <c r="K11" s="32"/>
      <c r="L11" s="32"/>
      <c r="M11" s="32">
        <f>'Balance Sheet Reported'!I11</f>
        <v>438</v>
      </c>
      <c r="N11" s="32"/>
      <c r="O11" s="32"/>
      <c r="P11" s="32"/>
      <c r="Q11" s="32">
        <f>'Balance Sheet Reported'!J11</f>
        <v>404</v>
      </c>
      <c r="R11" s="32"/>
      <c r="S11" s="32"/>
      <c r="T11" s="32"/>
      <c r="U11" s="32">
        <f>'Balance Sheet Reported'!K11</f>
        <v>422</v>
      </c>
      <c r="V11" s="32"/>
      <c r="W11" s="32">
        <f>501+337</f>
        <v>838</v>
      </c>
      <c r="X11" s="32">
        <v>487</v>
      </c>
      <c r="Y11" s="32">
        <f>'Balance Sheet Reported'!L11</f>
        <v>480</v>
      </c>
      <c r="Z11" s="32"/>
      <c r="AA11" s="32"/>
      <c r="AB11" s="32"/>
    </row>
    <row r="12" spans="1:28" x14ac:dyDescent="0.3">
      <c r="A12" s="85" t="s">
        <v>79</v>
      </c>
      <c r="B12" s="36"/>
      <c r="C12" s="36"/>
      <c r="D12" s="36"/>
      <c r="E12" s="36">
        <f>'Balance Sheet Reported'!G12</f>
        <v>190</v>
      </c>
      <c r="F12" s="36"/>
      <c r="G12" s="36"/>
      <c r="H12" s="36"/>
      <c r="I12" s="36">
        <f>'Balance Sheet Reported'!H12</f>
        <v>184</v>
      </c>
      <c r="J12" s="36"/>
      <c r="K12" s="36"/>
      <c r="L12" s="36"/>
      <c r="M12" s="36">
        <f>'Balance Sheet Reported'!I12</f>
        <v>208</v>
      </c>
      <c r="N12" s="36"/>
      <c r="O12" s="36"/>
      <c r="P12" s="36"/>
      <c r="Q12" s="36">
        <f>'Balance Sheet Reported'!J12</f>
        <v>197</v>
      </c>
      <c r="R12" s="36"/>
      <c r="S12" s="36"/>
      <c r="T12" s="36"/>
      <c r="U12" s="36">
        <f>'Balance Sheet Reported'!K12</f>
        <v>245</v>
      </c>
      <c r="V12" s="36"/>
      <c r="W12" s="36">
        <f>242</f>
        <v>242</v>
      </c>
      <c r="X12" s="36">
        <v>232</v>
      </c>
      <c r="Y12" s="36">
        <f>'Balance Sheet Reported'!L12</f>
        <v>226</v>
      </c>
      <c r="Z12" s="36"/>
      <c r="AA12" s="36"/>
      <c r="AB12" s="36"/>
    </row>
    <row r="13" spans="1:28" x14ac:dyDescent="0.3">
      <c r="A13" s="14" t="s">
        <v>80</v>
      </c>
      <c r="B13" s="22">
        <f>SUM(B8:B12)</f>
        <v>6241</v>
      </c>
      <c r="C13" s="22">
        <f t="shared" ref="C13:O13" si="0">SUM(C8:C12)</f>
        <v>6277</v>
      </c>
      <c r="D13" s="22">
        <f t="shared" si="0"/>
        <v>6648</v>
      </c>
      <c r="E13" s="22">
        <f t="shared" si="0"/>
        <v>7030</v>
      </c>
      <c r="F13" s="22">
        <f t="shared" si="0"/>
        <v>7727</v>
      </c>
      <c r="G13" s="22">
        <f t="shared" si="0"/>
        <v>8611</v>
      </c>
      <c r="H13" s="22">
        <f t="shared" si="0"/>
        <v>8503</v>
      </c>
      <c r="I13" s="22">
        <f t="shared" si="0"/>
        <v>8520</v>
      </c>
      <c r="J13" s="22">
        <f t="shared" si="0"/>
        <v>8845</v>
      </c>
      <c r="K13" s="22">
        <f t="shared" si="0"/>
        <v>9133</v>
      </c>
      <c r="L13" s="22">
        <f t="shared" si="0"/>
        <v>9072</v>
      </c>
      <c r="M13" s="22">
        <f t="shared" si="0"/>
        <v>9252</v>
      </c>
      <c r="N13" s="22">
        <f t="shared" si="0"/>
        <v>9852</v>
      </c>
      <c r="O13" s="22">
        <f t="shared" si="0"/>
        <v>9911</v>
      </c>
      <c r="P13" s="22">
        <f t="shared" ref="P13:R13" si="1">SUM(P8:P12)</f>
        <v>9810</v>
      </c>
      <c r="Q13" s="22">
        <f t="shared" si="1"/>
        <v>12183</v>
      </c>
      <c r="R13" s="22">
        <f t="shared" si="1"/>
        <v>12879</v>
      </c>
      <c r="S13" s="22">
        <f t="shared" ref="S13:U13" si="2">SUM(S8:S12)</f>
        <v>13076</v>
      </c>
      <c r="T13" s="22">
        <f t="shared" si="2"/>
        <v>12857</v>
      </c>
      <c r="U13" s="22">
        <f t="shared" si="2"/>
        <v>12834</v>
      </c>
      <c r="V13" s="22">
        <f t="shared" ref="V13:Y13" si="3">SUM(V8:V12)</f>
        <v>12872</v>
      </c>
      <c r="W13" s="22">
        <f t="shared" si="3"/>
        <v>12369</v>
      </c>
      <c r="X13" s="22">
        <f t="shared" si="3"/>
        <v>12170</v>
      </c>
      <c r="Y13" s="22">
        <f t="shared" si="3"/>
        <v>12137</v>
      </c>
      <c r="Z13" s="22">
        <f t="shared" ref="Z13:AA13" si="4">SUM(Z8:Z12)</f>
        <v>12099</v>
      </c>
      <c r="AA13" s="22">
        <f t="shared" si="4"/>
        <v>11977</v>
      </c>
      <c r="AB13" s="22">
        <f t="shared" ref="AB13" si="5">SUM(AB8:AB12)</f>
        <v>11735</v>
      </c>
    </row>
    <row r="14" spans="1:28" x14ac:dyDescent="0.3">
      <c r="A14" s="85" t="s">
        <v>81</v>
      </c>
      <c r="B14" s="32">
        <v>579</v>
      </c>
      <c r="C14" s="32">
        <v>562</v>
      </c>
      <c r="D14" s="32">
        <v>557</v>
      </c>
      <c r="E14" s="32">
        <f>'Balance Sheet Reported'!G14</f>
        <v>496</v>
      </c>
      <c r="F14" s="32">
        <v>473</v>
      </c>
      <c r="G14" s="32">
        <v>450</v>
      </c>
      <c r="H14" s="32">
        <v>443</v>
      </c>
      <c r="I14" s="32">
        <f>'Balance Sheet Reported'!H14</f>
        <v>468</v>
      </c>
      <c r="J14" s="32">
        <v>468</v>
      </c>
      <c r="K14" s="32">
        <v>456</v>
      </c>
      <c r="L14" s="32">
        <v>450</v>
      </c>
      <c r="M14" s="32">
        <f>'Balance Sheet Reported'!I14</f>
        <v>465</v>
      </c>
      <c r="N14" s="32">
        <v>474</v>
      </c>
      <c r="O14" s="32">
        <v>418</v>
      </c>
      <c r="P14" s="32">
        <v>416</v>
      </c>
      <c r="Q14" s="32">
        <f>'Balance Sheet Reported'!J14</f>
        <v>401</v>
      </c>
      <c r="R14" s="32">
        <v>637</v>
      </c>
      <c r="S14" s="32">
        <v>707</v>
      </c>
      <c r="T14" s="32">
        <v>925</v>
      </c>
      <c r="U14" s="32">
        <f>'Balance Sheet Reported'!K14</f>
        <v>936</v>
      </c>
      <c r="V14" s="32">
        <v>711</v>
      </c>
      <c r="W14" s="32">
        <v>774</v>
      </c>
      <c r="X14" s="32">
        <v>695</v>
      </c>
      <c r="Y14" s="32">
        <f>'Balance Sheet Reported'!L14</f>
        <v>833</v>
      </c>
      <c r="Z14" s="32">
        <v>942</v>
      </c>
      <c r="AA14" s="32">
        <v>913</v>
      </c>
      <c r="AB14" s="32">
        <v>1095</v>
      </c>
    </row>
    <row r="15" spans="1:28" x14ac:dyDescent="0.3">
      <c r="A15" s="85" t="s">
        <v>82</v>
      </c>
      <c r="B15" s="32"/>
      <c r="C15" s="32"/>
      <c r="D15" s="32"/>
      <c r="E15" s="32">
        <f>'Balance Sheet Reported'!G15</f>
        <v>0</v>
      </c>
      <c r="F15" s="32"/>
      <c r="G15" s="32"/>
      <c r="H15" s="32"/>
      <c r="I15" s="32">
        <f>'Balance Sheet Reported'!H15</f>
        <v>0</v>
      </c>
      <c r="J15" s="32"/>
      <c r="K15" s="32"/>
      <c r="L15" s="32"/>
      <c r="M15" s="32">
        <f>'Balance Sheet Reported'!I15</f>
        <v>0</v>
      </c>
      <c r="N15" s="32"/>
      <c r="O15" s="32"/>
      <c r="P15" s="32"/>
      <c r="Q15" s="32">
        <f>'Balance Sheet Reported'!J15</f>
        <v>0</v>
      </c>
      <c r="R15" s="32"/>
      <c r="S15" s="32"/>
      <c r="T15" s="32"/>
      <c r="U15" s="32">
        <f>'Balance Sheet Reported'!K15</f>
        <v>0</v>
      </c>
      <c r="V15" s="32"/>
      <c r="W15" s="32"/>
      <c r="X15" s="32"/>
      <c r="Y15" s="32">
        <f>'Balance Sheet Reported'!L15</f>
        <v>0</v>
      </c>
      <c r="Z15" s="32"/>
      <c r="AA15" s="32"/>
      <c r="AB15" s="32"/>
    </row>
    <row r="16" spans="1:28" x14ac:dyDescent="0.3">
      <c r="A16" s="85" t="s">
        <v>83</v>
      </c>
      <c r="B16" s="32">
        <f>305+311</f>
        <v>616</v>
      </c>
      <c r="C16" s="32">
        <f>308+311</f>
        <v>619</v>
      </c>
      <c r="D16" s="32">
        <f>310+311</f>
        <v>621</v>
      </c>
      <c r="E16" s="32">
        <f>'Balance Sheet Reported'!G16</f>
        <v>625</v>
      </c>
      <c r="F16" s="32">
        <f>312+311</f>
        <v>623</v>
      </c>
      <c r="G16" s="32">
        <f>311+311</f>
        <v>622</v>
      </c>
      <c r="H16" s="32">
        <f>312+311</f>
        <v>623</v>
      </c>
      <c r="I16" s="32">
        <f>'Balance Sheet Reported'!H16</f>
        <v>626</v>
      </c>
      <c r="J16" s="32">
        <f>312+311</f>
        <v>623</v>
      </c>
      <c r="K16" s="32">
        <f>311+309</f>
        <v>620</v>
      </c>
      <c r="L16" s="32">
        <f>313+311</f>
        <v>624</v>
      </c>
      <c r="M16" s="32">
        <f>'Balance Sheet Reported'!I16</f>
        <v>629</v>
      </c>
      <c r="N16" s="32">
        <f>333+311</f>
        <v>644</v>
      </c>
      <c r="O16" s="32">
        <f>311+350</f>
        <v>661</v>
      </c>
      <c r="P16" s="32">
        <f>371+311</f>
        <v>682</v>
      </c>
      <c r="Q16" s="32">
        <f>'Balance Sheet Reported'!J16</f>
        <v>715</v>
      </c>
      <c r="R16" s="32">
        <f>3227+802</f>
        <v>4029</v>
      </c>
      <c r="S16" s="32">
        <f>3288+850</f>
        <v>4138</v>
      </c>
      <c r="T16" s="32">
        <f>3286+930</f>
        <v>4216</v>
      </c>
      <c r="U16" s="32">
        <f>'Balance Sheet Reported'!K16</f>
        <v>4275</v>
      </c>
      <c r="V16" s="32">
        <f>1053+3273</f>
        <v>4326</v>
      </c>
      <c r="W16" s="32">
        <f>1069+3273</f>
        <v>4342</v>
      </c>
      <c r="X16" s="32">
        <f>1114+3273</f>
        <v>4387</v>
      </c>
      <c r="Y16" s="32">
        <f>'Balance Sheet Reported'!L16</f>
        <v>4407</v>
      </c>
      <c r="Z16" s="32">
        <f>1129+3273</f>
        <v>4402</v>
      </c>
      <c r="AA16" s="32">
        <f>1110+3273</f>
        <v>4383</v>
      </c>
      <c r="AB16" s="32">
        <f>1095+3273</f>
        <v>4368</v>
      </c>
    </row>
    <row r="17" spans="1:29" x14ac:dyDescent="0.3">
      <c r="A17" s="85" t="s">
        <v>84</v>
      </c>
      <c r="B17" s="32"/>
      <c r="C17" s="32"/>
      <c r="D17" s="32"/>
      <c r="E17" s="32">
        <f>'Balance Sheet Reported'!G17</f>
        <v>0</v>
      </c>
      <c r="F17" s="32"/>
      <c r="G17" s="32"/>
      <c r="H17" s="32"/>
      <c r="I17" s="32">
        <f>'Balance Sheet Reported'!H17</f>
        <v>0</v>
      </c>
      <c r="J17" s="32"/>
      <c r="K17" s="32"/>
      <c r="L17" s="32"/>
      <c r="M17" s="32">
        <f>'Balance Sheet Reported'!I17</f>
        <v>0</v>
      </c>
      <c r="N17" s="32"/>
      <c r="O17" s="32"/>
      <c r="P17" s="32"/>
      <c r="Q17" s="32">
        <f>'Balance Sheet Reported'!J17</f>
        <v>0</v>
      </c>
      <c r="R17" s="32"/>
      <c r="S17" s="32"/>
      <c r="T17" s="32"/>
      <c r="U17" s="32">
        <f>'Balance Sheet Reported'!K17</f>
        <v>0</v>
      </c>
      <c r="V17" s="32"/>
      <c r="W17" s="32"/>
      <c r="X17" s="32"/>
      <c r="Y17" s="32">
        <f>'Balance Sheet Reported'!L17</f>
        <v>0</v>
      </c>
      <c r="Z17" s="32"/>
      <c r="AA17" s="32"/>
      <c r="AB17" s="32"/>
    </row>
    <row r="18" spans="1:29" x14ac:dyDescent="0.3">
      <c r="A18" s="85" t="s">
        <v>85</v>
      </c>
      <c r="B18" s="32"/>
      <c r="C18" s="32"/>
      <c r="D18" s="32"/>
      <c r="E18" s="32">
        <f>'Balance Sheet Reported'!G18</f>
        <v>0</v>
      </c>
      <c r="F18" s="32"/>
      <c r="G18" s="32"/>
      <c r="H18" s="32"/>
      <c r="I18" s="32">
        <f>'Balance Sheet Reported'!H18</f>
        <v>0</v>
      </c>
      <c r="J18" s="32"/>
      <c r="K18" s="32"/>
      <c r="L18" s="32"/>
      <c r="M18" s="32">
        <f>'Balance Sheet Reported'!I18</f>
        <v>0</v>
      </c>
      <c r="N18" s="32"/>
      <c r="O18" s="32"/>
      <c r="P18" s="32"/>
      <c r="Q18" s="32">
        <f>'Balance Sheet Reported'!J18</f>
        <v>0</v>
      </c>
      <c r="R18" s="32"/>
      <c r="S18" s="32"/>
      <c r="T18" s="32"/>
      <c r="U18" s="32">
        <f>'Balance Sheet Reported'!K18</f>
        <v>0</v>
      </c>
      <c r="V18" s="32"/>
      <c r="W18" s="32"/>
      <c r="X18" s="32"/>
      <c r="Y18" s="32">
        <f>'Balance Sheet Reported'!L18</f>
        <v>0</v>
      </c>
      <c r="Z18" s="32"/>
      <c r="AA18" s="32"/>
      <c r="AB18" s="32"/>
    </row>
    <row r="19" spans="1:29" x14ac:dyDescent="0.3">
      <c r="A19" s="85" t="s">
        <v>86</v>
      </c>
      <c r="B19" s="32"/>
      <c r="C19" s="32"/>
      <c r="D19" s="32"/>
      <c r="E19" s="32">
        <f>'Balance Sheet Reported'!G19</f>
        <v>0</v>
      </c>
      <c r="F19" s="32"/>
      <c r="G19" s="32"/>
      <c r="H19" s="32"/>
      <c r="I19" s="32">
        <f>'Balance Sheet Reported'!H19</f>
        <v>0</v>
      </c>
      <c r="J19" s="32"/>
      <c r="K19" s="32"/>
      <c r="L19" s="32">
        <v>610</v>
      </c>
      <c r="M19" s="32">
        <f>'Balance Sheet Reported'!I19</f>
        <v>472</v>
      </c>
      <c r="N19" s="32">
        <v>451</v>
      </c>
      <c r="O19" s="32">
        <v>190</v>
      </c>
      <c r="P19" s="32">
        <f>32</f>
        <v>32</v>
      </c>
      <c r="Q19" s="32">
        <f>'Balance Sheet Reported'!J19</f>
        <v>314</v>
      </c>
      <c r="R19" s="32">
        <v>517</v>
      </c>
      <c r="S19" s="32">
        <v>518</v>
      </c>
      <c r="T19" s="32">
        <v>323</v>
      </c>
      <c r="U19" s="32">
        <f>'Balance Sheet Reported'!K19</f>
        <v>134</v>
      </c>
      <c r="V19" s="32">
        <v>37</v>
      </c>
      <c r="W19" s="32">
        <v>15</v>
      </c>
      <c r="X19" s="32">
        <v>23</v>
      </c>
      <c r="Y19" s="32">
        <f>'Balance Sheet Reported'!L19</f>
        <v>25</v>
      </c>
      <c r="Z19" s="32">
        <v>29</v>
      </c>
      <c r="AA19" s="32">
        <v>34</v>
      </c>
      <c r="AB19" s="32">
        <v>37</v>
      </c>
    </row>
    <row r="20" spans="1:29" x14ac:dyDescent="0.3">
      <c r="A20" s="85" t="s">
        <v>87</v>
      </c>
      <c r="B20" s="32"/>
      <c r="C20" s="32"/>
      <c r="D20" s="32"/>
      <c r="E20" s="32">
        <f>'Balance Sheet Reported'!G20</f>
        <v>0</v>
      </c>
      <c r="F20" s="32"/>
      <c r="G20" s="32"/>
      <c r="H20" s="32"/>
      <c r="I20" s="32">
        <f>'Balance Sheet Reported'!H20</f>
        <v>0</v>
      </c>
      <c r="J20" s="32"/>
      <c r="K20" s="32"/>
      <c r="L20" s="32"/>
      <c r="M20" s="32">
        <f>'Balance Sheet Reported'!I20</f>
        <v>0</v>
      </c>
      <c r="N20" s="32"/>
      <c r="O20" s="32"/>
      <c r="P20" s="32"/>
      <c r="Q20" s="32">
        <f>'Balance Sheet Reported'!J20</f>
        <v>0</v>
      </c>
      <c r="R20" s="32"/>
      <c r="S20" s="32"/>
      <c r="T20" s="32"/>
      <c r="U20" s="32">
        <f>'Balance Sheet Reported'!K20</f>
        <v>0</v>
      </c>
      <c r="V20" s="32"/>
      <c r="W20" s="32"/>
      <c r="X20" s="32"/>
      <c r="Y20" s="32">
        <f>'Balance Sheet Reported'!L20</f>
        <v>0</v>
      </c>
      <c r="Z20" s="32"/>
      <c r="AA20" s="32"/>
      <c r="AB20" s="32"/>
    </row>
    <row r="21" spans="1:29" x14ac:dyDescent="0.3">
      <c r="A21" s="85" t="s">
        <v>88</v>
      </c>
      <c r="B21" s="32"/>
      <c r="C21" s="32">
        <f>623</f>
        <v>623</v>
      </c>
      <c r="D21" s="32">
        <f>543</f>
        <v>543</v>
      </c>
      <c r="E21" s="32">
        <f>'Balance Sheet Reported'!G21</f>
        <v>851</v>
      </c>
      <c r="F21" s="32">
        <v>398</v>
      </c>
      <c r="G21" s="32">
        <f>402</f>
        <v>402</v>
      </c>
      <c r="H21" s="32">
        <v>557</v>
      </c>
      <c r="I21" s="32">
        <f>'Balance Sheet Reported'!H21</f>
        <v>1153</v>
      </c>
      <c r="J21" s="32">
        <v>1007</v>
      </c>
      <c r="K21" s="32">
        <v>1069</v>
      </c>
      <c r="L21" s="32">
        <v>1179</v>
      </c>
      <c r="M21" s="32">
        <f>'Balance Sheet Reported'!I21</f>
        <v>1583</v>
      </c>
      <c r="N21" s="32">
        <v>1571</v>
      </c>
      <c r="O21" s="32">
        <v>2383</v>
      </c>
      <c r="P21" s="32">
        <f>2243</f>
        <v>2243</v>
      </c>
      <c r="Q21" s="32">
        <f>'Balance Sheet Reported'!J21</f>
        <v>1969</v>
      </c>
      <c r="R21" s="32">
        <v>1715</v>
      </c>
      <c r="S21" s="32">
        <v>1609</v>
      </c>
      <c r="T21" s="32">
        <v>1761</v>
      </c>
      <c r="U21" s="32">
        <f>'Balance Sheet Reported'!K21</f>
        <v>2064</v>
      </c>
      <c r="V21" s="32">
        <v>3112</v>
      </c>
      <c r="W21" s="32">
        <v>2108</v>
      </c>
      <c r="X21" s="32">
        <v>2541</v>
      </c>
      <c r="Y21" s="32">
        <f>'Balance Sheet Reported'!L21</f>
        <v>2840</v>
      </c>
      <c r="Z21" s="32">
        <v>2869</v>
      </c>
      <c r="AA21" s="32">
        <v>3045</v>
      </c>
      <c r="AB21" s="32">
        <v>3206</v>
      </c>
    </row>
    <row r="22" spans="1:29" x14ac:dyDescent="0.3">
      <c r="A22" s="85" t="s">
        <v>89</v>
      </c>
      <c r="B22" s="36"/>
      <c r="C22" s="36"/>
      <c r="D22" s="36"/>
      <c r="E22" s="36">
        <f>'Balance Sheet Reported'!G22</f>
        <v>0</v>
      </c>
      <c r="F22" s="36"/>
      <c r="G22" s="36"/>
      <c r="H22" s="36"/>
      <c r="I22" s="36">
        <f>'Balance Sheet Reported'!H22</f>
        <v>0</v>
      </c>
      <c r="J22" s="36"/>
      <c r="K22" s="36"/>
      <c r="L22" s="36"/>
      <c r="M22" s="36">
        <f>'Balance Sheet Reported'!I22</f>
        <v>0</v>
      </c>
      <c r="N22" s="36"/>
      <c r="O22" s="36"/>
      <c r="P22" s="36"/>
      <c r="Q22" s="36">
        <f>'Balance Sheet Reported'!J22</f>
        <v>0</v>
      </c>
      <c r="R22" s="36"/>
      <c r="S22" s="36"/>
      <c r="T22" s="36"/>
      <c r="U22" s="36">
        <f>'Balance Sheet Reported'!K22</f>
        <v>0</v>
      </c>
      <c r="V22" s="36"/>
      <c r="W22" s="36"/>
      <c r="X22" s="36"/>
      <c r="Y22" s="36">
        <f>'Balance Sheet Reported'!L22</f>
        <v>0</v>
      </c>
      <c r="Z22" s="36"/>
      <c r="AA22" s="36"/>
      <c r="AB22" s="36"/>
    </row>
    <row r="23" spans="1:29" x14ac:dyDescent="0.3">
      <c r="A23" s="14" t="s">
        <v>90</v>
      </c>
      <c r="B23" s="22">
        <f>SUM(B14:B22)</f>
        <v>1195</v>
      </c>
      <c r="C23" s="22">
        <f t="shared" ref="C23:O23" si="6">SUM(C14:C22)</f>
        <v>1804</v>
      </c>
      <c r="D23" s="22">
        <f t="shared" si="6"/>
        <v>1721</v>
      </c>
      <c r="E23" s="22">
        <f t="shared" si="6"/>
        <v>1972</v>
      </c>
      <c r="F23" s="22">
        <f t="shared" si="6"/>
        <v>1494</v>
      </c>
      <c r="G23" s="22">
        <f t="shared" si="6"/>
        <v>1474</v>
      </c>
      <c r="H23" s="22">
        <f t="shared" si="6"/>
        <v>1623</v>
      </c>
      <c r="I23" s="22">
        <f t="shared" si="6"/>
        <v>2247</v>
      </c>
      <c r="J23" s="22">
        <f t="shared" si="6"/>
        <v>2098</v>
      </c>
      <c r="K23" s="22">
        <f t="shared" si="6"/>
        <v>2145</v>
      </c>
      <c r="L23" s="22">
        <f t="shared" si="6"/>
        <v>2863</v>
      </c>
      <c r="M23" s="22">
        <f t="shared" si="6"/>
        <v>3149</v>
      </c>
      <c r="N23" s="22">
        <f t="shared" si="6"/>
        <v>3140</v>
      </c>
      <c r="O23" s="22">
        <f t="shared" si="6"/>
        <v>3652</v>
      </c>
      <c r="P23" s="22">
        <f t="shared" ref="P23:R23" si="7">SUM(P14:P22)</f>
        <v>3373</v>
      </c>
      <c r="Q23" s="22">
        <f t="shared" si="7"/>
        <v>3399</v>
      </c>
      <c r="R23" s="22">
        <f t="shared" si="7"/>
        <v>6898</v>
      </c>
      <c r="S23" s="22">
        <f t="shared" ref="S23:T23" si="8">SUM(S14:S22)</f>
        <v>6972</v>
      </c>
      <c r="T23" s="22">
        <f t="shared" si="8"/>
        <v>7225</v>
      </c>
      <c r="U23" s="22">
        <f t="shared" ref="U23:Y23" si="9">SUM(U14:U22)</f>
        <v>7409</v>
      </c>
      <c r="V23" s="22">
        <f t="shared" si="9"/>
        <v>8186</v>
      </c>
      <c r="W23" s="22">
        <f t="shared" si="9"/>
        <v>7239</v>
      </c>
      <c r="X23" s="22">
        <f t="shared" si="9"/>
        <v>7646</v>
      </c>
      <c r="Y23" s="22">
        <f t="shared" si="9"/>
        <v>8105</v>
      </c>
      <c r="Z23" s="22">
        <f t="shared" ref="Z23:AA23" si="10">SUM(Z14:Z22)</f>
        <v>8242</v>
      </c>
      <c r="AA23" s="22">
        <f t="shared" si="10"/>
        <v>8375</v>
      </c>
      <c r="AB23" s="22">
        <f t="shared" ref="AB23" si="11">SUM(AB14:AB22)</f>
        <v>8706</v>
      </c>
    </row>
    <row r="24" spans="1:29" x14ac:dyDescent="0.3">
      <c r="A24" s="14" t="s">
        <v>253</v>
      </c>
      <c r="B24" s="23">
        <f>B13+B23</f>
        <v>7436</v>
      </c>
      <c r="C24" s="23">
        <f t="shared" ref="C24:O24" si="12">C13+C23</f>
        <v>8081</v>
      </c>
      <c r="D24" s="23">
        <f t="shared" si="12"/>
        <v>8369</v>
      </c>
      <c r="E24" s="23">
        <f t="shared" si="12"/>
        <v>9002</v>
      </c>
      <c r="F24" s="23">
        <f t="shared" si="12"/>
        <v>9221</v>
      </c>
      <c r="G24" s="23">
        <f t="shared" si="12"/>
        <v>10085</v>
      </c>
      <c r="H24" s="23">
        <f t="shared" si="12"/>
        <v>10126</v>
      </c>
      <c r="I24" s="23">
        <f t="shared" si="12"/>
        <v>10767</v>
      </c>
      <c r="J24" s="23">
        <f t="shared" si="12"/>
        <v>10943</v>
      </c>
      <c r="K24" s="23">
        <f t="shared" si="12"/>
        <v>11278</v>
      </c>
      <c r="L24" s="23">
        <f t="shared" si="12"/>
        <v>11935</v>
      </c>
      <c r="M24" s="23">
        <f t="shared" si="12"/>
        <v>12401</v>
      </c>
      <c r="N24" s="23">
        <f t="shared" si="12"/>
        <v>12992</v>
      </c>
      <c r="O24" s="23">
        <f t="shared" si="12"/>
        <v>13563</v>
      </c>
      <c r="P24" s="23">
        <f t="shared" ref="P24:R24" si="13">P13+P23</f>
        <v>13183</v>
      </c>
      <c r="Q24" s="23">
        <f t="shared" si="13"/>
        <v>15582</v>
      </c>
      <c r="R24" s="23">
        <f t="shared" si="13"/>
        <v>19777</v>
      </c>
      <c r="S24" s="23">
        <f t="shared" ref="S24:T24" si="14">S13+S23</f>
        <v>20048</v>
      </c>
      <c r="T24" s="23">
        <f t="shared" si="14"/>
        <v>20082</v>
      </c>
      <c r="U24" s="23">
        <f t="shared" ref="U24:Y24" si="15">U13+U23</f>
        <v>20243</v>
      </c>
      <c r="V24" s="23">
        <f t="shared" si="15"/>
        <v>21058</v>
      </c>
      <c r="W24" s="23">
        <f t="shared" si="15"/>
        <v>19608</v>
      </c>
      <c r="X24" s="23">
        <f t="shared" si="15"/>
        <v>19816</v>
      </c>
      <c r="Y24" s="23">
        <f t="shared" si="15"/>
        <v>20242</v>
      </c>
      <c r="Z24" s="23">
        <f t="shared" ref="Z24:AA24" si="16">Z13+Z23</f>
        <v>20341</v>
      </c>
      <c r="AA24" s="23">
        <f t="shared" si="16"/>
        <v>20352</v>
      </c>
      <c r="AB24" s="23">
        <f t="shared" ref="AB24" si="17">AB13+AB23</f>
        <v>20441</v>
      </c>
    </row>
    <row r="25" spans="1:29" x14ac:dyDescent="0.3">
      <c r="A25" s="85" t="s">
        <v>66</v>
      </c>
      <c r="B25" s="32">
        <f>1035</f>
        <v>1035</v>
      </c>
      <c r="C25" s="32">
        <v>1077</v>
      </c>
      <c r="D25" s="32">
        <v>910</v>
      </c>
      <c r="E25" s="32">
        <f>'Balance Sheet Reported'!G25</f>
        <v>572</v>
      </c>
      <c r="F25" s="32">
        <f>908</f>
        <v>908</v>
      </c>
      <c r="G25" s="32">
        <f>882</f>
        <v>882</v>
      </c>
      <c r="H25" s="32">
        <v>1017</v>
      </c>
      <c r="I25" s="32">
        <f>'Balance Sheet Reported'!H25</f>
        <v>787</v>
      </c>
      <c r="J25" s="32">
        <v>1270</v>
      </c>
      <c r="K25" s="32">
        <v>1299</v>
      </c>
      <c r="L25" s="32">
        <v>1146</v>
      </c>
      <c r="M25" s="32">
        <f>'Balance Sheet Reported'!I25</f>
        <v>642</v>
      </c>
      <c r="N25" s="32">
        <v>1197</v>
      </c>
      <c r="O25" s="32">
        <v>856</v>
      </c>
      <c r="P25" s="32">
        <v>852</v>
      </c>
      <c r="Q25" s="32">
        <f>'Balance Sheet Reported'!J25</f>
        <v>630</v>
      </c>
      <c r="R25" s="32">
        <v>1582</v>
      </c>
      <c r="S25" s="32">
        <v>1591</v>
      </c>
      <c r="T25" s="32">
        <v>1976</v>
      </c>
      <c r="U25" s="32">
        <f>'Balance Sheet Reported'!K25</f>
        <v>2090</v>
      </c>
      <c r="V25" s="32">
        <v>2588</v>
      </c>
      <c r="W25" s="32">
        <v>5089</v>
      </c>
      <c r="X25" s="32">
        <v>3790</v>
      </c>
      <c r="Y25" s="32">
        <f>'Balance Sheet Reported'!L25</f>
        <v>3658</v>
      </c>
      <c r="Z25" s="32">
        <v>3278</v>
      </c>
      <c r="AA25" s="32">
        <v>2710</v>
      </c>
      <c r="AB25" s="32">
        <v>5220</v>
      </c>
      <c r="AC25" s="13">
        <f>AB25-AA25</f>
        <v>2510</v>
      </c>
    </row>
    <row r="26" spans="1:29" x14ac:dyDescent="0.3">
      <c r="A26" s="85" t="s">
        <v>67</v>
      </c>
      <c r="B26" s="32">
        <f>1815</f>
        <v>1815</v>
      </c>
      <c r="C26" s="32">
        <v>1944</v>
      </c>
      <c r="D26" s="32">
        <v>2206</v>
      </c>
      <c r="E26" s="32">
        <f>'Balance Sheet Reported'!G26</f>
        <v>2100</v>
      </c>
      <c r="F26" s="32">
        <f>2039</f>
        <v>2039</v>
      </c>
      <c r="G26" s="32">
        <f>2266</f>
        <v>2266</v>
      </c>
      <c r="H26" s="32">
        <v>2417</v>
      </c>
      <c r="I26" s="32">
        <f>'Balance Sheet Reported'!H26</f>
        <v>2192</v>
      </c>
      <c r="J26" s="32">
        <v>2354</v>
      </c>
      <c r="K26" s="32">
        <v>2755</v>
      </c>
      <c r="L26" s="32">
        <v>2989</v>
      </c>
      <c r="M26" s="32">
        <f>'Balance Sheet Reported'!I26</f>
        <v>3162</v>
      </c>
      <c r="N26" s="32">
        <v>3299</v>
      </c>
      <c r="O26" s="32">
        <v>3814</v>
      </c>
      <c r="P26" s="32">
        <v>4070</v>
      </c>
      <c r="Q26" s="32">
        <f>'Balance Sheet Reported'!J26</f>
        <v>4077</v>
      </c>
      <c r="R26" s="32">
        <v>4294</v>
      </c>
      <c r="S26" s="32">
        <v>4330</v>
      </c>
      <c r="T26" s="32">
        <v>3893</v>
      </c>
      <c r="U26" s="32">
        <f>'Balance Sheet Reported'!K26</f>
        <v>3799</v>
      </c>
      <c r="V26" s="32">
        <v>3540</v>
      </c>
      <c r="W26" s="32">
        <v>3555</v>
      </c>
      <c r="X26" s="32">
        <v>3985</v>
      </c>
      <c r="Y26" s="32">
        <f>'Balance Sheet Reported'!L26</f>
        <v>3843</v>
      </c>
      <c r="Z26" s="32">
        <v>2691</v>
      </c>
      <c r="AA26" s="32">
        <v>2383</v>
      </c>
      <c r="AB26" s="32">
        <v>3482</v>
      </c>
      <c r="AC26" s="13">
        <f>AB26-AA26</f>
        <v>1099</v>
      </c>
    </row>
    <row r="27" spans="1:29" x14ac:dyDescent="0.3">
      <c r="A27" s="85" t="s">
        <v>68</v>
      </c>
      <c r="B27" s="32">
        <v>80</v>
      </c>
      <c r="C27" s="32">
        <v>51</v>
      </c>
      <c r="D27" s="32">
        <v>94</v>
      </c>
      <c r="E27" s="32">
        <f>'Balance Sheet Reported'!G27</f>
        <v>91</v>
      </c>
      <c r="F27" s="32">
        <f>61</f>
        <v>61</v>
      </c>
      <c r="G27" s="32">
        <v>55</v>
      </c>
      <c r="H27" s="32">
        <v>88</v>
      </c>
      <c r="I27" s="32">
        <f>'Balance Sheet Reported'!H27</f>
        <v>126</v>
      </c>
      <c r="J27" s="32">
        <v>83</v>
      </c>
      <c r="K27" s="32">
        <v>67</v>
      </c>
      <c r="L27" s="32">
        <v>108</v>
      </c>
      <c r="M27" s="32">
        <f>'Balance Sheet Reported'!I27</f>
        <v>148</v>
      </c>
      <c r="N27" s="32">
        <v>92</v>
      </c>
      <c r="O27" s="32">
        <v>71</v>
      </c>
      <c r="P27" s="32">
        <v>116</v>
      </c>
      <c r="Q27" s="32">
        <f>'Balance Sheet Reported'!J27</f>
        <v>161</v>
      </c>
      <c r="R27" s="32">
        <v>104</v>
      </c>
      <c r="S27" s="32">
        <v>79</v>
      </c>
      <c r="T27" s="32">
        <v>124</v>
      </c>
      <c r="U27" s="32">
        <f>'Balance Sheet Reported'!K27</f>
        <v>157</v>
      </c>
      <c r="V27" s="32">
        <v>103</v>
      </c>
      <c r="W27" s="32">
        <v>100</v>
      </c>
      <c r="X27" s="32">
        <v>86</v>
      </c>
      <c r="Y27" s="32">
        <f>'Balance Sheet Reported'!L27</f>
        <v>106</v>
      </c>
      <c r="Z27" s="32">
        <v>104</v>
      </c>
      <c r="AA27" s="32">
        <v>56</v>
      </c>
      <c r="AB27" s="32">
        <v>92</v>
      </c>
    </row>
    <row r="28" spans="1:29" x14ac:dyDescent="0.3">
      <c r="A28" s="85" t="s">
        <v>69</v>
      </c>
      <c r="B28" s="32">
        <f>96+57</f>
        <v>153</v>
      </c>
      <c r="C28" s="32">
        <f>50+97</f>
        <v>147</v>
      </c>
      <c r="D28" s="32">
        <f>101+62</f>
        <v>163</v>
      </c>
      <c r="E28" s="32">
        <f>'Balance Sheet Reported'!G28</f>
        <v>182</v>
      </c>
      <c r="F28" s="32">
        <f>52+111</f>
        <v>163</v>
      </c>
      <c r="G28" s="32">
        <f>68+102</f>
        <v>170</v>
      </c>
      <c r="H28" s="32">
        <f>71+101</f>
        <v>172</v>
      </c>
      <c r="I28" s="32">
        <f>'Balance Sheet Reported'!H28</f>
        <v>186</v>
      </c>
      <c r="J28" s="32">
        <f>80+110</f>
        <v>190</v>
      </c>
      <c r="K28" s="32">
        <f>62+111</f>
        <v>173</v>
      </c>
      <c r="L28" s="32">
        <f>75+107</f>
        <v>182</v>
      </c>
      <c r="M28" s="32">
        <f>'Balance Sheet Reported'!I28</f>
        <v>206</v>
      </c>
      <c r="N28" s="32">
        <f>75+117</f>
        <v>192</v>
      </c>
      <c r="O28" s="32">
        <f>99+110</f>
        <v>209</v>
      </c>
      <c r="P28" s="32">
        <f>109+117</f>
        <v>226</v>
      </c>
      <c r="Q28" s="32">
        <f>'Balance Sheet Reported'!J28</f>
        <v>220</v>
      </c>
      <c r="R28" s="32">
        <f>108+89</f>
        <v>197</v>
      </c>
      <c r="S28" s="32">
        <f>107+107</f>
        <v>214</v>
      </c>
      <c r="T28" s="32">
        <f>107+104</f>
        <v>211</v>
      </c>
      <c r="U28" s="32">
        <f>'Balance Sheet Reported'!K28</f>
        <v>212</v>
      </c>
      <c r="V28" s="32">
        <f>93+120</f>
        <v>213</v>
      </c>
      <c r="W28" s="32">
        <f>64+130</f>
        <v>194</v>
      </c>
      <c r="X28" s="32">
        <f>62+129</f>
        <v>191</v>
      </c>
      <c r="Y28" s="32">
        <f>'Balance Sheet Reported'!L28</f>
        <v>166</v>
      </c>
      <c r="Z28" s="32">
        <f>124+35</f>
        <v>159</v>
      </c>
      <c r="AA28" s="32">
        <f>58+118</f>
        <v>176</v>
      </c>
      <c r="AB28" s="32">
        <f>108+79</f>
        <v>187</v>
      </c>
    </row>
    <row r="29" spans="1:29" x14ac:dyDescent="0.3">
      <c r="A29" s="85" t="s">
        <v>70</v>
      </c>
      <c r="B29" s="32"/>
      <c r="C29" s="32"/>
      <c r="D29" s="32"/>
      <c r="E29" s="32">
        <f>'Balance Sheet Reported'!G29</f>
        <v>0</v>
      </c>
      <c r="F29" s="32"/>
      <c r="G29" s="32"/>
      <c r="H29" s="32"/>
      <c r="I29" s="32">
        <f>'Balance Sheet Reported'!H29</f>
        <v>0</v>
      </c>
      <c r="J29" s="32"/>
      <c r="K29" s="32"/>
      <c r="L29" s="32"/>
      <c r="M29" s="32">
        <f>'Balance Sheet Reported'!I29</f>
        <v>0</v>
      </c>
      <c r="N29" s="32"/>
      <c r="O29" s="32"/>
      <c r="P29" s="32"/>
      <c r="Q29" s="32">
        <f>'Balance Sheet Reported'!J29</f>
        <v>0</v>
      </c>
      <c r="R29" s="32"/>
      <c r="S29" s="32"/>
      <c r="T29" s="32"/>
      <c r="U29" s="32">
        <f>'Balance Sheet Reported'!K29</f>
        <v>0</v>
      </c>
      <c r="V29" s="32"/>
      <c r="W29" s="32"/>
      <c r="X29" s="32"/>
      <c r="Y29" s="32">
        <f>'Balance Sheet Reported'!L29</f>
        <v>0</v>
      </c>
      <c r="Z29" s="32"/>
      <c r="AA29" s="32"/>
      <c r="AB29" s="32"/>
    </row>
    <row r="30" spans="1:29" x14ac:dyDescent="0.3">
      <c r="A30" s="85" t="s">
        <v>71</v>
      </c>
      <c r="B30" s="32">
        <f>776</f>
        <v>776</v>
      </c>
      <c r="C30" s="32">
        <v>822</v>
      </c>
      <c r="D30" s="32">
        <f>751</f>
        <v>751</v>
      </c>
      <c r="E30" s="32">
        <f>'Balance Sheet Reported'!G30</f>
        <v>654</v>
      </c>
      <c r="F30" s="32">
        <f>758</f>
        <v>758</v>
      </c>
      <c r="G30" s="32">
        <v>815</v>
      </c>
      <c r="H30" s="32">
        <v>760</v>
      </c>
      <c r="I30" s="32">
        <f>'Balance Sheet Reported'!H30</f>
        <v>707</v>
      </c>
      <c r="J30" s="32">
        <v>785</v>
      </c>
      <c r="K30" s="32">
        <v>871</v>
      </c>
      <c r="L30" s="32">
        <v>789</v>
      </c>
      <c r="M30" s="32">
        <f>'Balance Sheet Reported'!I30</f>
        <v>814</v>
      </c>
      <c r="N30" s="32">
        <v>891</v>
      </c>
      <c r="O30" s="32">
        <v>976</v>
      </c>
      <c r="P30" s="32">
        <v>960</v>
      </c>
      <c r="Q30" s="32">
        <f>'Balance Sheet Reported'!J30</f>
        <v>796</v>
      </c>
      <c r="R30" s="32">
        <v>936</v>
      </c>
      <c r="S30" s="32">
        <v>1050</v>
      </c>
      <c r="T30" s="32">
        <v>895</v>
      </c>
      <c r="U30" s="32">
        <f>'Balance Sheet Reported'!K30</f>
        <v>926</v>
      </c>
      <c r="V30" s="32">
        <v>567</v>
      </c>
      <c r="W30" s="32">
        <v>677</v>
      </c>
      <c r="X30" s="32">
        <v>518</v>
      </c>
      <c r="Y30" s="32">
        <f>'Balance Sheet Reported'!L30</f>
        <v>644</v>
      </c>
      <c r="Z30" s="32">
        <v>667</v>
      </c>
      <c r="AA30" s="32">
        <v>617</v>
      </c>
      <c r="AB30" s="32">
        <v>744</v>
      </c>
    </row>
    <row r="31" spans="1:29" x14ac:dyDescent="0.3">
      <c r="A31" s="85" t="s">
        <v>72</v>
      </c>
      <c r="B31" s="32"/>
      <c r="C31" s="32"/>
      <c r="D31" s="32"/>
      <c r="E31" s="32">
        <f>'Balance Sheet Reported'!G31</f>
        <v>0</v>
      </c>
      <c r="F31" s="32"/>
      <c r="G31" s="32"/>
      <c r="H31" s="32"/>
      <c r="I31" s="32">
        <f>'Balance Sheet Reported'!H31</f>
        <v>0</v>
      </c>
      <c r="J31" s="32"/>
      <c r="K31" s="32"/>
      <c r="L31" s="32"/>
      <c r="M31" s="32">
        <f>'Balance Sheet Reported'!I31</f>
        <v>0</v>
      </c>
      <c r="N31" s="32"/>
      <c r="O31" s="32"/>
      <c r="P31" s="32"/>
      <c r="Q31" s="32">
        <f>'Balance Sheet Reported'!J31</f>
        <v>0</v>
      </c>
      <c r="R31" s="32"/>
      <c r="S31" s="32"/>
      <c r="T31" s="32"/>
      <c r="U31" s="32">
        <f>'Balance Sheet Reported'!K31</f>
        <v>0</v>
      </c>
      <c r="V31" s="32"/>
      <c r="W31" s="32"/>
      <c r="X31" s="32"/>
      <c r="Y31" s="32">
        <f>'Balance Sheet Reported'!L31</f>
        <v>0</v>
      </c>
      <c r="Z31" s="32"/>
      <c r="AA31" s="32"/>
      <c r="AB31" s="32"/>
    </row>
    <row r="32" spans="1:29" x14ac:dyDescent="0.3">
      <c r="A32" s="85" t="s">
        <v>73</v>
      </c>
      <c r="B32" s="36">
        <f>286</f>
        <v>286</v>
      </c>
      <c r="C32" s="36">
        <f>252</f>
        <v>252</v>
      </c>
      <c r="D32" s="36">
        <f>262</f>
        <v>262</v>
      </c>
      <c r="E32" s="36">
        <f>'Balance Sheet Reported'!G32</f>
        <v>526</v>
      </c>
      <c r="F32" s="36">
        <f>204+149</f>
        <v>353</v>
      </c>
      <c r="G32" s="36">
        <f>216+50</f>
        <v>266</v>
      </c>
      <c r="H32" s="36">
        <v>270</v>
      </c>
      <c r="I32" s="36">
        <f>'Balance Sheet Reported'!H32</f>
        <v>349</v>
      </c>
      <c r="J32" s="36">
        <v>239</v>
      </c>
      <c r="K32" s="36">
        <v>215</v>
      </c>
      <c r="L32" s="36">
        <f>5486-SUM(L25:L31)</f>
        <v>272</v>
      </c>
      <c r="M32" s="36">
        <f>'Balance Sheet Reported'!I32</f>
        <v>325</v>
      </c>
      <c r="N32" s="36">
        <v>307</v>
      </c>
      <c r="O32" s="36">
        <f>352+296</f>
        <v>648</v>
      </c>
      <c r="P32" s="36">
        <f>6594-SUM(P25:P31)</f>
        <v>370</v>
      </c>
      <c r="Q32" s="36">
        <f>'Balance Sheet Reported'!J32</f>
        <v>417</v>
      </c>
      <c r="R32" s="36">
        <v>341</v>
      </c>
      <c r="S32" s="36">
        <v>348</v>
      </c>
      <c r="T32" s="36">
        <v>316</v>
      </c>
      <c r="U32" s="36">
        <f>'Balance Sheet Reported'!K32</f>
        <v>332</v>
      </c>
      <c r="V32" s="36">
        <v>267</v>
      </c>
      <c r="W32" s="36">
        <f>182</f>
        <v>182</v>
      </c>
      <c r="X32" s="36">
        <v>173</v>
      </c>
      <c r="Y32" s="36">
        <f>'Balance Sheet Reported'!L32</f>
        <v>254</v>
      </c>
      <c r="Z32" s="36">
        <f>224</f>
        <v>224</v>
      </c>
      <c r="AA32" s="36">
        <f>210</f>
        <v>210</v>
      </c>
      <c r="AB32" s="36">
        <v>134</v>
      </c>
    </row>
    <row r="33" spans="1:29" x14ac:dyDescent="0.3">
      <c r="A33" s="14" t="s">
        <v>74</v>
      </c>
      <c r="B33" s="22">
        <f>SUM(B25:B32)</f>
        <v>4145</v>
      </c>
      <c r="C33" s="22">
        <f t="shared" ref="C33:O33" si="18">SUM(C25:C32)</f>
        <v>4293</v>
      </c>
      <c r="D33" s="22">
        <f t="shared" si="18"/>
        <v>4386</v>
      </c>
      <c r="E33" s="22">
        <f t="shared" si="18"/>
        <v>4125</v>
      </c>
      <c r="F33" s="22">
        <f t="shared" si="18"/>
        <v>4282</v>
      </c>
      <c r="G33" s="22">
        <f t="shared" si="18"/>
        <v>4454</v>
      </c>
      <c r="H33" s="22">
        <f t="shared" si="18"/>
        <v>4724</v>
      </c>
      <c r="I33" s="22">
        <f t="shared" si="18"/>
        <v>4347</v>
      </c>
      <c r="J33" s="22">
        <f t="shared" si="18"/>
        <v>4921</v>
      </c>
      <c r="K33" s="22">
        <f t="shared" si="18"/>
        <v>5380</v>
      </c>
      <c r="L33" s="22">
        <f t="shared" si="18"/>
        <v>5486</v>
      </c>
      <c r="M33" s="22">
        <f t="shared" si="18"/>
        <v>5297</v>
      </c>
      <c r="N33" s="22">
        <f t="shared" si="18"/>
        <v>5978</v>
      </c>
      <c r="O33" s="22">
        <f t="shared" si="18"/>
        <v>6574</v>
      </c>
      <c r="P33" s="22">
        <f t="shared" ref="P33:R33" si="19">SUM(P25:P32)</f>
        <v>6594</v>
      </c>
      <c r="Q33" s="22">
        <f t="shared" si="19"/>
        <v>6301</v>
      </c>
      <c r="R33" s="22">
        <f t="shared" si="19"/>
        <v>7454</v>
      </c>
      <c r="S33" s="22">
        <f t="shared" ref="S33:T33" si="20">SUM(S25:S32)</f>
        <v>7612</v>
      </c>
      <c r="T33" s="22">
        <f t="shared" si="20"/>
        <v>7415</v>
      </c>
      <c r="U33" s="22">
        <f t="shared" ref="U33:Y33" si="21">SUM(U25:U32)</f>
        <v>7516</v>
      </c>
      <c r="V33" s="22">
        <f t="shared" si="21"/>
        <v>7278</v>
      </c>
      <c r="W33" s="22">
        <f t="shared" si="21"/>
        <v>9797</v>
      </c>
      <c r="X33" s="22">
        <f t="shared" si="21"/>
        <v>8743</v>
      </c>
      <c r="Y33" s="22">
        <f t="shared" si="21"/>
        <v>8671</v>
      </c>
      <c r="Z33" s="22">
        <f t="shared" ref="Z33:AA33" si="22">SUM(Z25:Z32)</f>
        <v>7123</v>
      </c>
      <c r="AA33" s="22">
        <f t="shared" si="22"/>
        <v>6152</v>
      </c>
      <c r="AB33" s="22">
        <f t="shared" ref="AB33" si="23">SUM(AB25:AB32)</f>
        <v>9859</v>
      </c>
    </row>
    <row r="34" spans="1:29" x14ac:dyDescent="0.3">
      <c r="A34" s="14" t="s">
        <v>91</v>
      </c>
      <c r="B34" s="22">
        <f>B24+B33</f>
        <v>11581</v>
      </c>
      <c r="C34" s="22">
        <f t="shared" ref="C34:O34" si="24">C24+C33</f>
        <v>12374</v>
      </c>
      <c r="D34" s="22">
        <f t="shared" si="24"/>
        <v>12755</v>
      </c>
      <c r="E34" s="22">
        <f t="shared" si="24"/>
        <v>13127</v>
      </c>
      <c r="F34" s="22">
        <f t="shared" si="24"/>
        <v>13503</v>
      </c>
      <c r="G34" s="22">
        <f t="shared" si="24"/>
        <v>14539</v>
      </c>
      <c r="H34" s="22">
        <f t="shared" si="24"/>
        <v>14850</v>
      </c>
      <c r="I34" s="22">
        <f t="shared" si="24"/>
        <v>15114</v>
      </c>
      <c r="J34" s="22">
        <f t="shared" si="24"/>
        <v>15864</v>
      </c>
      <c r="K34" s="22">
        <f t="shared" si="24"/>
        <v>16658</v>
      </c>
      <c r="L34" s="22">
        <f t="shared" si="24"/>
        <v>17421</v>
      </c>
      <c r="M34" s="22">
        <f t="shared" si="24"/>
        <v>17698</v>
      </c>
      <c r="N34" s="22">
        <f t="shared" si="24"/>
        <v>18970</v>
      </c>
      <c r="O34" s="22">
        <f t="shared" si="24"/>
        <v>20137</v>
      </c>
      <c r="P34" s="22">
        <f t="shared" ref="P34:R34" si="25">P24+P33</f>
        <v>19777</v>
      </c>
      <c r="Q34" s="22">
        <f t="shared" si="25"/>
        <v>21883</v>
      </c>
      <c r="R34" s="22">
        <f t="shared" si="25"/>
        <v>27231</v>
      </c>
      <c r="S34" s="22">
        <f t="shared" ref="S34:T34" si="26">S24+S33</f>
        <v>27660</v>
      </c>
      <c r="T34" s="22">
        <f t="shared" si="26"/>
        <v>27497</v>
      </c>
      <c r="U34" s="22">
        <f t="shared" ref="U34:Y34" si="27">U24+U33</f>
        <v>27759</v>
      </c>
      <c r="V34" s="22">
        <f t="shared" si="27"/>
        <v>28336</v>
      </c>
      <c r="W34" s="22">
        <f t="shared" si="27"/>
        <v>29405</v>
      </c>
      <c r="X34" s="22">
        <f t="shared" si="27"/>
        <v>28559</v>
      </c>
      <c r="Y34" s="22">
        <f t="shared" si="27"/>
        <v>28913</v>
      </c>
      <c r="Z34" s="22">
        <f t="shared" ref="Z34:AA34" si="28">Z24+Z33</f>
        <v>27464</v>
      </c>
      <c r="AA34" s="22">
        <f t="shared" si="28"/>
        <v>26504</v>
      </c>
      <c r="AB34" s="22">
        <f t="shared" ref="AB34" si="29">AB24+AB33</f>
        <v>30300</v>
      </c>
    </row>
    <row r="35" spans="1:29" x14ac:dyDescent="0.3">
      <c r="A35" s="85" t="s">
        <v>92</v>
      </c>
      <c r="B35" s="32"/>
      <c r="C35" s="32"/>
      <c r="D35" s="32"/>
      <c r="E35" s="32">
        <f>'Balance Sheet Reported'!G35</f>
        <v>0</v>
      </c>
      <c r="F35" s="32"/>
      <c r="G35" s="32"/>
      <c r="H35" s="32"/>
      <c r="I35" s="32">
        <f>'Balance Sheet Reported'!H35</f>
        <v>0</v>
      </c>
      <c r="J35" s="32"/>
      <c r="K35" s="32"/>
      <c r="L35" s="32"/>
      <c r="M35" s="32">
        <f>'Balance Sheet Reported'!I35</f>
        <v>0</v>
      </c>
      <c r="N35" s="32"/>
      <c r="O35" s="32"/>
      <c r="P35" s="32"/>
      <c r="Q35" s="32">
        <f>'Balance Sheet Reported'!J35</f>
        <v>408</v>
      </c>
      <c r="R35" s="32"/>
      <c r="S35" s="32"/>
      <c r="T35" s="32"/>
      <c r="U35" s="32">
        <f>'Balance Sheet Reported'!K35</f>
        <v>587</v>
      </c>
      <c r="V35" s="32"/>
      <c r="W35" s="32"/>
      <c r="X35" s="32"/>
      <c r="Y35" s="32">
        <f>'Balance Sheet Reported'!L35</f>
        <v>1244</v>
      </c>
      <c r="Z35" s="32">
        <f>349+173+25</f>
        <v>547</v>
      </c>
      <c r="AA35" s="32">
        <f>331+168+25</f>
        <v>524</v>
      </c>
      <c r="AB35" s="32">
        <f>1015-AB36</f>
        <v>518</v>
      </c>
    </row>
    <row r="36" spans="1:29" x14ac:dyDescent="0.3">
      <c r="A36" s="85" t="s">
        <v>93</v>
      </c>
      <c r="B36" s="32">
        <v>555</v>
      </c>
      <c r="C36" s="32">
        <v>528</v>
      </c>
      <c r="D36" s="32">
        <v>562</v>
      </c>
      <c r="E36" s="32">
        <f>'Balance Sheet Reported'!G36</f>
        <v>524</v>
      </c>
      <c r="F36" s="32">
        <v>457</v>
      </c>
      <c r="G36" s="32">
        <v>549</v>
      </c>
      <c r="H36" s="32">
        <v>627</v>
      </c>
      <c r="I36" s="32">
        <f>'Balance Sheet Reported'!H36</f>
        <v>707</v>
      </c>
      <c r="J36" s="32">
        <v>825</v>
      </c>
      <c r="K36" s="32">
        <v>871</v>
      </c>
      <c r="L36" s="32">
        <v>769</v>
      </c>
      <c r="M36" s="32">
        <f>'Balance Sheet Reported'!I36</f>
        <v>671</v>
      </c>
      <c r="N36" s="32">
        <v>620</v>
      </c>
      <c r="O36" s="32">
        <v>441</v>
      </c>
      <c r="P36" s="32">
        <v>432</v>
      </c>
      <c r="Q36" s="32">
        <f>'Balance Sheet Reported'!J36</f>
        <v>640</v>
      </c>
      <c r="R36" s="32">
        <v>1282</v>
      </c>
      <c r="S36" s="32">
        <v>1249</v>
      </c>
      <c r="T36" s="32">
        <v>1244</v>
      </c>
      <c r="U36" s="32">
        <f>'Balance Sheet Reported'!K36</f>
        <v>631</v>
      </c>
      <c r="V36" s="32">
        <f>1043</f>
        <v>1043</v>
      </c>
      <c r="W36" s="32">
        <f>3236</f>
        <v>3236</v>
      </c>
      <c r="X36" s="32">
        <v>2001</v>
      </c>
      <c r="Y36" s="32">
        <f>'Balance Sheet Reported'!L36</f>
        <v>544</v>
      </c>
      <c r="Z36" s="32">
        <f>1630-Z35</f>
        <v>1083</v>
      </c>
      <c r="AA36" s="32">
        <f>1012-AA35</f>
        <v>488</v>
      </c>
      <c r="AB36" s="32">
        <v>497</v>
      </c>
    </row>
    <row r="37" spans="1:29" x14ac:dyDescent="0.3">
      <c r="A37" s="85" t="s">
        <v>94</v>
      </c>
      <c r="B37" s="32"/>
      <c r="C37" s="32"/>
      <c r="D37" s="32"/>
      <c r="E37" s="32">
        <f>'Balance Sheet Reported'!G37</f>
        <v>0</v>
      </c>
      <c r="F37" s="32"/>
      <c r="G37" s="32"/>
      <c r="H37" s="32"/>
      <c r="I37" s="32">
        <f>'Balance Sheet Reported'!H37</f>
        <v>0</v>
      </c>
      <c r="J37" s="32"/>
      <c r="K37" s="32"/>
      <c r="L37" s="32"/>
      <c r="M37" s="32">
        <f>'Balance Sheet Reported'!I37</f>
        <v>0</v>
      </c>
      <c r="N37" s="32"/>
      <c r="O37" s="32"/>
      <c r="P37" s="32"/>
      <c r="Q37" s="32">
        <f>'Balance Sheet Reported'!J37</f>
        <v>0</v>
      </c>
      <c r="R37" s="32"/>
      <c r="S37" s="32"/>
      <c r="T37" s="32"/>
      <c r="U37" s="32">
        <f>'Balance Sheet Reported'!K37</f>
        <v>0</v>
      </c>
      <c r="V37" s="32"/>
      <c r="W37" s="32"/>
      <c r="X37" s="32"/>
      <c r="Y37" s="32">
        <f>'Balance Sheet Reported'!L37</f>
        <v>0</v>
      </c>
      <c r="Z37" s="32"/>
      <c r="AA37" s="32"/>
      <c r="AB37" s="32"/>
    </row>
    <row r="38" spans="1:29" x14ac:dyDescent="0.3">
      <c r="A38" s="85" t="s">
        <v>95</v>
      </c>
      <c r="B38" s="32">
        <v>1472</v>
      </c>
      <c r="C38" s="32">
        <v>1423</v>
      </c>
      <c r="D38" s="32">
        <v>1452</v>
      </c>
      <c r="E38" s="32">
        <f>'Balance Sheet Reported'!G38</f>
        <v>1487</v>
      </c>
      <c r="F38" s="32">
        <v>1774</v>
      </c>
      <c r="G38" s="32">
        <v>1705</v>
      </c>
      <c r="H38" s="32">
        <v>1752</v>
      </c>
      <c r="I38" s="32">
        <f>'Balance Sheet Reported'!H38</f>
        <v>1644</v>
      </c>
      <c r="J38" s="32">
        <v>1753</v>
      </c>
      <c r="K38" s="32">
        <v>1675</v>
      </c>
      <c r="L38" s="32">
        <v>1898</v>
      </c>
      <c r="M38" s="32">
        <f>'Balance Sheet Reported'!I38</f>
        <v>1961</v>
      </c>
      <c r="N38" s="32">
        <v>2055</v>
      </c>
      <c r="O38" s="32">
        <v>1945</v>
      </c>
      <c r="P38" s="32">
        <v>2030</v>
      </c>
      <c r="Q38" s="32">
        <f>'Balance Sheet Reported'!J38</f>
        <v>1911</v>
      </c>
      <c r="R38" s="32">
        <v>2361</v>
      </c>
      <c r="S38" s="32">
        <v>2404</v>
      </c>
      <c r="T38" s="32">
        <v>2492</v>
      </c>
      <c r="U38" s="32">
        <f>'Balance Sheet Reported'!K38</f>
        <v>2456</v>
      </c>
      <c r="V38" s="32">
        <v>2260</v>
      </c>
      <c r="W38" s="32">
        <f>2029</f>
        <v>2029</v>
      </c>
      <c r="X38" s="32">
        <v>2237</v>
      </c>
      <c r="Y38" s="32">
        <f>'Balance Sheet Reported'!L38</f>
        <v>2465</v>
      </c>
      <c r="Z38" s="32">
        <v>2269</v>
      </c>
      <c r="AA38" s="32">
        <v>2101</v>
      </c>
      <c r="AB38" s="32">
        <v>2341</v>
      </c>
    </row>
    <row r="39" spans="1:29" x14ac:dyDescent="0.3">
      <c r="A39" s="85" t="s">
        <v>96</v>
      </c>
      <c r="B39" s="32"/>
      <c r="C39" s="32"/>
      <c r="D39" s="32"/>
      <c r="E39" s="32">
        <f>'Balance Sheet Reported'!G39</f>
        <v>0</v>
      </c>
      <c r="F39" s="32"/>
      <c r="G39" s="32"/>
      <c r="H39" s="32"/>
      <c r="I39" s="32">
        <f>'Balance Sheet Reported'!H39</f>
        <v>0</v>
      </c>
      <c r="J39" s="32"/>
      <c r="K39" s="32"/>
      <c r="L39" s="32"/>
      <c r="M39" s="32">
        <f>'Balance Sheet Reported'!I39</f>
        <v>0</v>
      </c>
      <c r="N39" s="32"/>
      <c r="O39" s="32"/>
      <c r="P39" s="32"/>
      <c r="Q39" s="32">
        <f>'Balance Sheet Reported'!J39</f>
        <v>0</v>
      </c>
      <c r="R39" s="32">
        <v>1054</v>
      </c>
      <c r="S39" s="32">
        <v>1093</v>
      </c>
      <c r="T39" s="32">
        <v>1159</v>
      </c>
      <c r="U39" s="32">
        <f>'Balance Sheet Reported'!K39</f>
        <v>0</v>
      </c>
      <c r="V39" s="32"/>
      <c r="W39" s="32"/>
      <c r="X39" s="32">
        <v>676</v>
      </c>
      <c r="Y39" s="32">
        <f>'Balance Sheet Reported'!L39</f>
        <v>572</v>
      </c>
      <c r="Z39" s="32">
        <v>664</v>
      </c>
      <c r="AA39" s="32">
        <v>814</v>
      </c>
      <c r="AB39" s="32">
        <v>861</v>
      </c>
    </row>
    <row r="40" spans="1:29" x14ac:dyDescent="0.3">
      <c r="A40" s="85" t="s">
        <v>97</v>
      </c>
      <c r="B40" s="32">
        <v>2213</v>
      </c>
      <c r="C40" s="32">
        <v>2395</v>
      </c>
      <c r="D40" s="32">
        <v>1841</v>
      </c>
      <c r="E40" s="32">
        <f>'Balance Sheet Reported'!G40</f>
        <v>1818</v>
      </c>
      <c r="F40" s="32">
        <v>2307</v>
      </c>
      <c r="G40" s="32">
        <v>2696</v>
      </c>
      <c r="H40" s="32">
        <v>1984</v>
      </c>
      <c r="I40" s="32">
        <f>'Balance Sheet Reported'!H40</f>
        <v>2073</v>
      </c>
      <c r="J40" s="32">
        <v>2683</v>
      </c>
      <c r="K40" s="32">
        <v>3138</v>
      </c>
      <c r="L40" s="32">
        <v>2350</v>
      </c>
      <c r="M40" s="32">
        <f>'Balance Sheet Reported'!I40</f>
        <v>2428</v>
      </c>
      <c r="N40" s="32">
        <v>3041</v>
      </c>
      <c r="O40" s="32">
        <v>3530</v>
      </c>
      <c r="P40" s="32">
        <f>2759</f>
        <v>2759</v>
      </c>
      <c r="Q40" s="32">
        <f>'Balance Sheet Reported'!J40</f>
        <v>2717</v>
      </c>
      <c r="R40" s="32">
        <v>3304</v>
      </c>
      <c r="S40" s="32">
        <v>3729</v>
      </c>
      <c r="T40" s="32">
        <v>2943</v>
      </c>
      <c r="U40" s="32">
        <f>'Balance Sheet Reported'!K40</f>
        <v>4101</v>
      </c>
      <c r="V40" s="32">
        <f>2614+511</f>
        <v>3125</v>
      </c>
      <c r="W40" s="32">
        <f>2433+676</f>
        <v>3109</v>
      </c>
      <c r="X40" s="32">
        <v>2322</v>
      </c>
      <c r="Y40" s="32">
        <f>'Balance Sheet Reported'!L40</f>
        <v>2314</v>
      </c>
      <c r="Z40" s="32">
        <v>2337</v>
      </c>
      <c r="AA40" s="32">
        <v>1719</v>
      </c>
      <c r="AB40" s="32">
        <v>1932</v>
      </c>
    </row>
    <row r="41" spans="1:29" x14ac:dyDescent="0.3">
      <c r="A41" s="85" t="s">
        <v>98</v>
      </c>
      <c r="B41" s="32"/>
      <c r="C41" s="32"/>
      <c r="D41" s="32"/>
      <c r="E41" s="32">
        <f>'Balance Sheet Reported'!G41</f>
        <v>0</v>
      </c>
      <c r="F41" s="32"/>
      <c r="G41" s="32"/>
      <c r="H41" s="32"/>
      <c r="I41" s="32">
        <f>'Balance Sheet Reported'!H41</f>
        <v>0</v>
      </c>
      <c r="J41" s="32"/>
      <c r="K41" s="32"/>
      <c r="L41" s="32"/>
      <c r="M41" s="32">
        <f>'Balance Sheet Reported'!I41</f>
        <v>0</v>
      </c>
      <c r="N41" s="32"/>
      <c r="O41" s="32"/>
      <c r="P41" s="32"/>
      <c r="Q41" s="32">
        <f>'Balance Sheet Reported'!J41</f>
        <v>0</v>
      </c>
      <c r="R41" s="32"/>
      <c r="S41" s="32"/>
      <c r="T41" s="32"/>
      <c r="U41" s="32">
        <f>'Balance Sheet Reported'!K41</f>
        <v>0</v>
      </c>
      <c r="V41" s="32"/>
      <c r="W41" s="32"/>
      <c r="X41" s="32"/>
      <c r="Y41" s="32">
        <f>'Balance Sheet Reported'!L41</f>
        <v>0</v>
      </c>
      <c r="Z41" s="32"/>
      <c r="AA41" s="32"/>
      <c r="AB41" s="32"/>
    </row>
    <row r="42" spans="1:29" x14ac:dyDescent="0.3">
      <c r="A42" s="85" t="s">
        <v>99</v>
      </c>
      <c r="B42" s="36"/>
      <c r="C42" s="36"/>
      <c r="D42" s="36"/>
      <c r="E42" s="36">
        <f>'Balance Sheet Reported'!G42</f>
        <v>0</v>
      </c>
      <c r="F42" s="36"/>
      <c r="G42" s="36"/>
      <c r="H42" s="36"/>
      <c r="I42" s="36">
        <f>'Balance Sheet Reported'!H42</f>
        <v>0</v>
      </c>
      <c r="J42" s="36"/>
      <c r="K42" s="36"/>
      <c r="L42" s="36"/>
      <c r="M42" s="36">
        <f>'Balance Sheet Reported'!I42</f>
        <v>0</v>
      </c>
      <c r="N42" s="36"/>
      <c r="O42" s="36"/>
      <c r="P42" s="36"/>
      <c r="Q42" s="36">
        <f>'Balance Sheet Reported'!J42</f>
        <v>0</v>
      </c>
      <c r="R42" s="36"/>
      <c r="S42" s="36"/>
      <c r="T42" s="36"/>
      <c r="U42" s="36">
        <f>'Balance Sheet Reported'!K42</f>
        <v>0</v>
      </c>
      <c r="V42" s="36"/>
      <c r="W42" s="36"/>
      <c r="X42" s="36"/>
      <c r="Y42" s="36">
        <f>'Balance Sheet Reported'!L42</f>
        <v>0</v>
      </c>
      <c r="Z42" s="36"/>
      <c r="AA42" s="36"/>
      <c r="AB42" s="36"/>
    </row>
    <row r="43" spans="1:29" x14ac:dyDescent="0.3">
      <c r="A43" s="14" t="s">
        <v>100</v>
      </c>
      <c r="B43" s="22">
        <f>SUM(B35:B42)</f>
        <v>4240</v>
      </c>
      <c r="C43" s="22">
        <f t="shared" ref="C43:O43" si="30">SUM(C35:C42)</f>
        <v>4346</v>
      </c>
      <c r="D43" s="22">
        <f t="shared" si="30"/>
        <v>3855</v>
      </c>
      <c r="E43" s="22">
        <f t="shared" si="30"/>
        <v>3829</v>
      </c>
      <c r="F43" s="22">
        <f t="shared" si="30"/>
        <v>4538</v>
      </c>
      <c r="G43" s="22">
        <f t="shared" si="30"/>
        <v>4950</v>
      </c>
      <c r="H43" s="22">
        <f t="shared" si="30"/>
        <v>4363</v>
      </c>
      <c r="I43" s="22">
        <f t="shared" si="30"/>
        <v>4424</v>
      </c>
      <c r="J43" s="22">
        <f t="shared" si="30"/>
        <v>5261</v>
      </c>
      <c r="K43" s="22">
        <f t="shared" si="30"/>
        <v>5684</v>
      </c>
      <c r="L43" s="22">
        <f t="shared" si="30"/>
        <v>5017</v>
      </c>
      <c r="M43" s="22">
        <f t="shared" si="30"/>
        <v>5060</v>
      </c>
      <c r="N43" s="22">
        <f t="shared" si="30"/>
        <v>5716</v>
      </c>
      <c r="O43" s="22">
        <f t="shared" si="30"/>
        <v>5916</v>
      </c>
      <c r="P43" s="22">
        <f t="shared" ref="P43:R43" si="31">SUM(P35:P42)</f>
        <v>5221</v>
      </c>
      <c r="Q43" s="22">
        <f t="shared" si="31"/>
        <v>5676</v>
      </c>
      <c r="R43" s="22">
        <f t="shared" si="31"/>
        <v>8001</v>
      </c>
      <c r="S43" s="22">
        <f t="shared" ref="S43:T43" si="32">SUM(S35:S42)</f>
        <v>8475</v>
      </c>
      <c r="T43" s="22">
        <f t="shared" si="32"/>
        <v>7838</v>
      </c>
      <c r="U43" s="22">
        <f t="shared" ref="U43:Y43" si="33">SUM(U35:U42)</f>
        <v>7775</v>
      </c>
      <c r="V43" s="22">
        <f t="shared" si="33"/>
        <v>6428</v>
      </c>
      <c r="W43" s="22">
        <f t="shared" si="33"/>
        <v>8374</v>
      </c>
      <c r="X43" s="22">
        <f t="shared" si="33"/>
        <v>7236</v>
      </c>
      <c r="Y43" s="22">
        <f t="shared" si="33"/>
        <v>7139</v>
      </c>
      <c r="Z43" s="22">
        <f t="shared" ref="Z43:AA43" si="34">SUM(Z35:Z42)</f>
        <v>6900</v>
      </c>
      <c r="AA43" s="22">
        <f t="shared" si="34"/>
        <v>5646</v>
      </c>
      <c r="AB43" s="22">
        <f t="shared" ref="AB43" si="35">SUM(AB35:AB42)</f>
        <v>6149</v>
      </c>
    </row>
    <row r="44" spans="1:29" x14ac:dyDescent="0.3">
      <c r="A44" s="14" t="s">
        <v>254</v>
      </c>
      <c r="B44" s="22">
        <f>B33-B43</f>
        <v>-95</v>
      </c>
      <c r="C44" s="22">
        <f t="shared" ref="C44:O44" si="36">C33-C43</f>
        <v>-53</v>
      </c>
      <c r="D44" s="22">
        <f t="shared" si="36"/>
        <v>531</v>
      </c>
      <c r="E44" s="22">
        <f t="shared" si="36"/>
        <v>296</v>
      </c>
      <c r="F44" s="22">
        <f t="shared" si="36"/>
        <v>-256</v>
      </c>
      <c r="G44" s="22">
        <f t="shared" si="36"/>
        <v>-496</v>
      </c>
      <c r="H44" s="22">
        <f t="shared" si="36"/>
        <v>361</v>
      </c>
      <c r="I44" s="22">
        <f t="shared" si="36"/>
        <v>-77</v>
      </c>
      <c r="J44" s="22">
        <f t="shared" si="36"/>
        <v>-340</v>
      </c>
      <c r="K44" s="22">
        <f t="shared" si="36"/>
        <v>-304</v>
      </c>
      <c r="L44" s="22">
        <f t="shared" si="36"/>
        <v>469</v>
      </c>
      <c r="M44" s="22">
        <f t="shared" si="36"/>
        <v>237</v>
      </c>
      <c r="N44" s="22">
        <f t="shared" si="36"/>
        <v>262</v>
      </c>
      <c r="O44" s="22">
        <f t="shared" si="36"/>
        <v>658</v>
      </c>
      <c r="P44" s="22">
        <f t="shared" ref="P44:R44" si="37">P33-P43</f>
        <v>1373</v>
      </c>
      <c r="Q44" s="22">
        <f t="shared" si="37"/>
        <v>625</v>
      </c>
      <c r="R44" s="22">
        <f t="shared" si="37"/>
        <v>-547</v>
      </c>
      <c r="S44" s="22">
        <f t="shared" ref="S44:T44" si="38">S33-S43</f>
        <v>-863</v>
      </c>
      <c r="T44" s="22">
        <f t="shared" si="38"/>
        <v>-423</v>
      </c>
      <c r="U44" s="22">
        <f t="shared" ref="U44:Y44" si="39">U33-U43</f>
        <v>-259</v>
      </c>
      <c r="V44" s="22">
        <f t="shared" si="39"/>
        <v>850</v>
      </c>
      <c r="W44" s="22">
        <f t="shared" si="39"/>
        <v>1423</v>
      </c>
      <c r="X44" s="22">
        <f t="shared" si="39"/>
        <v>1507</v>
      </c>
      <c r="Y44" s="22">
        <f t="shared" si="39"/>
        <v>1532</v>
      </c>
      <c r="Z44" s="22">
        <f t="shared" ref="Z44:AA44" si="40">Z33-Z43</f>
        <v>223</v>
      </c>
      <c r="AA44" s="22">
        <f t="shared" si="40"/>
        <v>506</v>
      </c>
      <c r="AB44" s="22">
        <f t="shared" ref="AB44" si="41">AB33-AB43</f>
        <v>3710</v>
      </c>
    </row>
    <row r="45" spans="1:29" x14ac:dyDescent="0.3">
      <c r="A45" s="85" t="s">
        <v>101</v>
      </c>
      <c r="B45" s="32">
        <v>5252</v>
      </c>
      <c r="C45" s="32">
        <v>5093</v>
      </c>
      <c r="D45" s="32">
        <v>5576</v>
      </c>
      <c r="E45" s="32">
        <f>'Balance Sheet Reported'!G45</f>
        <v>5870</v>
      </c>
      <c r="F45" s="32">
        <v>5991</v>
      </c>
      <c r="G45" s="32">
        <v>6401</v>
      </c>
      <c r="H45" s="32">
        <v>6350</v>
      </c>
      <c r="I45" s="32">
        <f>'Balance Sheet Reported'!H45</f>
        <v>5911</v>
      </c>
      <c r="J45" s="32">
        <v>5959</v>
      </c>
      <c r="K45" s="32">
        <v>5894</v>
      </c>
      <c r="L45" s="32">
        <v>5560</v>
      </c>
      <c r="M45" s="32">
        <f>'Balance Sheet Reported'!I45</f>
        <v>5448</v>
      </c>
      <c r="N45" s="32">
        <v>6117</v>
      </c>
      <c r="O45" s="32">
        <v>6567</v>
      </c>
      <c r="P45" s="32">
        <v>6246</v>
      </c>
      <c r="Q45" s="32">
        <f>'Balance Sheet Reported'!J45</f>
        <v>6057</v>
      </c>
      <c r="R45" s="32">
        <v>8414</v>
      </c>
      <c r="S45" s="32">
        <v>8202</v>
      </c>
      <c r="T45" s="32">
        <v>8116</v>
      </c>
      <c r="U45" s="32">
        <f>'Balance Sheet Reported'!K45</f>
        <v>5196</v>
      </c>
      <c r="V45" s="32">
        <f>6993-1130</f>
        <v>5863</v>
      </c>
      <c r="W45" s="32">
        <f>10448-W46</f>
        <v>6854</v>
      </c>
      <c r="X45" s="32">
        <v>11161</v>
      </c>
      <c r="Y45" s="32">
        <f>'Balance Sheet Reported'!L45</f>
        <v>8149</v>
      </c>
      <c r="Z45" s="32">
        <v>9360</v>
      </c>
      <c r="AA45" s="32">
        <v>9508</v>
      </c>
      <c r="AB45" s="32">
        <f>15667-AB46</f>
        <v>12860</v>
      </c>
      <c r="AC45" s="13">
        <f>AB45-AA45</f>
        <v>3352</v>
      </c>
    </row>
    <row r="46" spans="1:29" x14ac:dyDescent="0.3">
      <c r="A46" s="85" t="s">
        <v>102</v>
      </c>
      <c r="B46" s="32"/>
      <c r="C46" s="32"/>
      <c r="D46" s="32"/>
      <c r="E46" s="32">
        <f>'Balance Sheet Reported'!G46</f>
        <v>0</v>
      </c>
      <c r="F46" s="32"/>
      <c r="G46" s="32"/>
      <c r="H46" s="32"/>
      <c r="I46" s="32">
        <f>'Balance Sheet Reported'!H46</f>
        <v>0</v>
      </c>
      <c r="J46" s="32"/>
      <c r="K46" s="32"/>
      <c r="L46" s="32"/>
      <c r="M46" s="32">
        <f>'Balance Sheet Reported'!I46</f>
        <v>0</v>
      </c>
      <c r="N46" s="32"/>
      <c r="O46" s="32"/>
      <c r="P46" s="32"/>
      <c r="Q46" s="32">
        <f>'Balance Sheet Reported'!J46</f>
        <v>2816</v>
      </c>
      <c r="R46" s="32"/>
      <c r="S46" s="32"/>
      <c r="T46" s="32"/>
      <c r="U46" s="32">
        <f>'Balance Sheet Reported'!K46</f>
        <v>2828</v>
      </c>
      <c r="V46" s="32">
        <v>3787</v>
      </c>
      <c r="W46" s="32">
        <v>3594</v>
      </c>
      <c r="X46" s="32"/>
      <c r="Y46" s="32">
        <f>'Balance Sheet Reported'!L46</f>
        <v>3052</v>
      </c>
      <c r="Z46" s="32">
        <f>11122-9360</f>
        <v>1762</v>
      </c>
      <c r="AA46" s="32">
        <f>11734-AA45</f>
        <v>2226</v>
      </c>
      <c r="AB46" s="32">
        <f>3325-AB35</f>
        <v>2807</v>
      </c>
    </row>
    <row r="47" spans="1:29" x14ac:dyDescent="0.3">
      <c r="A47" s="85" t="s">
        <v>103</v>
      </c>
      <c r="B47" s="32"/>
      <c r="C47" s="32"/>
      <c r="D47" s="32"/>
      <c r="E47" s="32">
        <f>'Balance Sheet Reported'!G47</f>
        <v>0</v>
      </c>
      <c r="F47" s="32"/>
      <c r="G47" s="32"/>
      <c r="H47" s="32"/>
      <c r="I47" s="32">
        <f>'Balance Sheet Reported'!H47</f>
        <v>0</v>
      </c>
      <c r="J47" s="32"/>
      <c r="K47" s="32"/>
      <c r="L47" s="32"/>
      <c r="M47" s="32">
        <f>'Balance Sheet Reported'!I47</f>
        <v>0</v>
      </c>
      <c r="N47" s="32"/>
      <c r="O47" s="32"/>
      <c r="P47" s="32"/>
      <c r="Q47" s="32">
        <f>'Balance Sheet Reported'!J47</f>
        <v>0</v>
      </c>
      <c r="R47" s="32"/>
      <c r="S47" s="32"/>
      <c r="T47" s="32"/>
      <c r="U47" s="32">
        <f>'Balance Sheet Reported'!K47</f>
        <v>0</v>
      </c>
      <c r="V47" s="32"/>
      <c r="W47" s="32"/>
      <c r="X47" s="32"/>
      <c r="Y47" s="32">
        <f>'Balance Sheet Reported'!L47</f>
        <v>0</v>
      </c>
      <c r="Z47" s="32"/>
      <c r="AA47" s="32"/>
      <c r="AB47" s="32"/>
    </row>
    <row r="48" spans="1:29" x14ac:dyDescent="0.3">
      <c r="A48" s="85" t="s">
        <v>104</v>
      </c>
      <c r="B48" s="36"/>
      <c r="C48" s="36"/>
      <c r="D48" s="36"/>
      <c r="E48" s="36">
        <f>'Balance Sheet Reported'!G48</f>
        <v>0</v>
      </c>
      <c r="F48" s="36"/>
      <c r="G48" s="36"/>
      <c r="H48" s="36"/>
      <c r="I48" s="36">
        <f>'Balance Sheet Reported'!H48</f>
        <v>0</v>
      </c>
      <c r="J48" s="36"/>
      <c r="K48" s="36"/>
      <c r="L48" s="36"/>
      <c r="M48" s="36">
        <f>'Balance Sheet Reported'!I48</f>
        <v>0</v>
      </c>
      <c r="N48" s="36"/>
      <c r="O48" s="36"/>
      <c r="P48" s="36"/>
      <c r="Q48" s="36">
        <f>'Balance Sheet Reported'!J48</f>
        <v>0</v>
      </c>
      <c r="R48" s="36"/>
      <c r="S48" s="36"/>
      <c r="T48" s="36"/>
      <c r="U48" s="36">
        <f>'Balance Sheet Reported'!K48</f>
        <v>0</v>
      </c>
      <c r="V48" s="36"/>
      <c r="W48" s="36"/>
      <c r="X48" s="36"/>
      <c r="Y48" s="36">
        <f>'Balance Sheet Reported'!L48</f>
        <v>0</v>
      </c>
      <c r="Z48" s="36"/>
      <c r="AA48" s="36"/>
      <c r="AB48" s="36"/>
    </row>
    <row r="49" spans="1:28" x14ac:dyDescent="0.3">
      <c r="A49" s="14" t="s">
        <v>105</v>
      </c>
      <c r="B49" s="22">
        <f t="shared" ref="B49:F49" si="42">SUM(B45:B48)</f>
        <v>5252</v>
      </c>
      <c r="C49" s="22">
        <f t="shared" si="42"/>
        <v>5093</v>
      </c>
      <c r="D49" s="22">
        <f t="shared" si="42"/>
        <v>5576</v>
      </c>
      <c r="E49" s="22">
        <f t="shared" si="42"/>
        <v>5870</v>
      </c>
      <c r="F49" s="22">
        <f t="shared" si="42"/>
        <v>5991</v>
      </c>
      <c r="G49" s="22">
        <f>SUM(G45:G48)</f>
        <v>6401</v>
      </c>
      <c r="H49" s="22">
        <f>SUM(H45:H48)</f>
        <v>6350</v>
      </c>
      <c r="I49" s="22">
        <f>SUM(I45:I48)</f>
        <v>5911</v>
      </c>
      <c r="J49" s="22">
        <f>SUM(J45:J48)</f>
        <v>5959</v>
      </c>
      <c r="K49" s="22">
        <f>SUM(K45:K48)</f>
        <v>5894</v>
      </c>
      <c r="L49" s="22">
        <f t="shared" ref="L49:O49" si="43">SUM(L45:L48)</f>
        <v>5560</v>
      </c>
      <c r="M49" s="22">
        <f t="shared" si="43"/>
        <v>5448</v>
      </c>
      <c r="N49" s="22">
        <f t="shared" si="43"/>
        <v>6117</v>
      </c>
      <c r="O49" s="22">
        <f t="shared" si="43"/>
        <v>6567</v>
      </c>
      <c r="P49" s="22">
        <f t="shared" ref="P49:R49" si="44">SUM(P45:P48)</f>
        <v>6246</v>
      </c>
      <c r="Q49" s="22">
        <f t="shared" si="44"/>
        <v>8873</v>
      </c>
      <c r="R49" s="22">
        <f t="shared" si="44"/>
        <v>8414</v>
      </c>
      <c r="S49" s="22">
        <f t="shared" ref="S49:U49" si="45">SUM(S45:S48)</f>
        <v>8202</v>
      </c>
      <c r="T49" s="22">
        <f t="shared" si="45"/>
        <v>8116</v>
      </c>
      <c r="U49" s="22">
        <f t="shared" si="45"/>
        <v>8024</v>
      </c>
      <c r="V49" s="22">
        <f t="shared" ref="V49:Y49" si="46">SUM(V45:V48)</f>
        <v>9650</v>
      </c>
      <c r="W49" s="22">
        <f t="shared" si="46"/>
        <v>10448</v>
      </c>
      <c r="X49" s="22">
        <f t="shared" si="46"/>
        <v>11161</v>
      </c>
      <c r="Y49" s="22">
        <f t="shared" si="46"/>
        <v>11201</v>
      </c>
      <c r="Z49" s="22">
        <f t="shared" ref="Z49:AA49" si="47">SUM(Z45:Z48)</f>
        <v>11122</v>
      </c>
      <c r="AA49" s="22">
        <f t="shared" si="47"/>
        <v>11734</v>
      </c>
      <c r="AB49" s="22">
        <f t="shared" ref="AB49" si="48">SUM(AB45:AB48)</f>
        <v>15667</v>
      </c>
    </row>
    <row r="50" spans="1:28" x14ac:dyDescent="0.3">
      <c r="A50" s="85" t="s">
        <v>106</v>
      </c>
      <c r="B50" s="32"/>
      <c r="C50" s="32"/>
      <c r="D50" s="32"/>
      <c r="E50" s="32">
        <f>'Balance Sheet Reported'!G50</f>
        <v>0</v>
      </c>
      <c r="F50" s="32"/>
      <c r="G50" s="32"/>
      <c r="H50" s="32"/>
      <c r="I50" s="32">
        <f>'Balance Sheet Reported'!H50</f>
        <v>0</v>
      </c>
      <c r="J50" s="32"/>
      <c r="K50" s="32"/>
      <c r="L50" s="32"/>
      <c r="M50" s="32">
        <f>'Balance Sheet Reported'!I50</f>
        <v>0</v>
      </c>
      <c r="N50" s="32"/>
      <c r="O50" s="32"/>
      <c r="P50" s="32">
        <v>110</v>
      </c>
      <c r="Q50" s="32">
        <f>'Balance Sheet Reported'!J50</f>
        <v>52</v>
      </c>
      <c r="R50" s="32">
        <v>73</v>
      </c>
      <c r="S50" s="32">
        <v>73</v>
      </c>
      <c r="T50" s="32">
        <v>73</v>
      </c>
      <c r="U50" s="32">
        <f>'Balance Sheet Reported'!K50</f>
        <v>73</v>
      </c>
      <c r="V50" s="32">
        <v>176</v>
      </c>
      <c r="W50" s="32">
        <v>73</v>
      </c>
      <c r="X50" s="32">
        <v>73</v>
      </c>
      <c r="Y50" s="32">
        <f>'Balance Sheet Reported'!L50</f>
        <v>75</v>
      </c>
      <c r="Z50" s="32">
        <v>75</v>
      </c>
      <c r="AA50" s="32">
        <v>75</v>
      </c>
      <c r="AB50" s="32">
        <v>75</v>
      </c>
    </row>
    <row r="51" spans="1:28" x14ac:dyDescent="0.3">
      <c r="A51" s="85" t="s">
        <v>107</v>
      </c>
      <c r="B51" s="32"/>
      <c r="C51" s="32"/>
      <c r="D51" s="32"/>
      <c r="E51" s="32">
        <f>'Balance Sheet Reported'!G51</f>
        <v>0</v>
      </c>
      <c r="F51" s="32"/>
      <c r="G51" s="32"/>
      <c r="H51" s="32"/>
      <c r="I51" s="32">
        <f>'Balance Sheet Reported'!H51</f>
        <v>0</v>
      </c>
      <c r="J51" s="32"/>
      <c r="K51" s="32"/>
      <c r="L51" s="32"/>
      <c r="M51" s="32">
        <f>'Balance Sheet Reported'!I51</f>
        <v>0</v>
      </c>
      <c r="N51" s="32"/>
      <c r="O51" s="32"/>
      <c r="P51" s="32"/>
      <c r="Q51" s="32">
        <f>'Balance Sheet Reported'!J51</f>
        <v>0</v>
      </c>
      <c r="R51" s="32"/>
      <c r="S51" s="32"/>
      <c r="T51" s="32"/>
      <c r="U51" s="32">
        <f>'Balance Sheet Reported'!K51</f>
        <v>0</v>
      </c>
      <c r="V51" s="32"/>
      <c r="W51" s="32"/>
      <c r="X51" s="32"/>
      <c r="Y51" s="32">
        <f>'Balance Sheet Reported'!L51</f>
        <v>0</v>
      </c>
      <c r="Z51" s="32"/>
      <c r="AA51" s="32"/>
      <c r="AB51" s="32"/>
    </row>
    <row r="52" spans="1:28" x14ac:dyDescent="0.3">
      <c r="A52" s="85" t="s">
        <v>108</v>
      </c>
      <c r="B52" s="32"/>
      <c r="C52" s="32"/>
      <c r="D52" s="32"/>
      <c r="E52" s="32">
        <f>'Balance Sheet Reported'!G52</f>
        <v>0</v>
      </c>
      <c r="F52" s="32"/>
      <c r="G52" s="32"/>
      <c r="H52" s="32"/>
      <c r="I52" s="32">
        <f>'Balance Sheet Reported'!H52</f>
        <v>0</v>
      </c>
      <c r="J52" s="32"/>
      <c r="K52" s="32"/>
      <c r="L52" s="32"/>
      <c r="M52" s="32">
        <f>'Balance Sheet Reported'!I52</f>
        <v>0</v>
      </c>
      <c r="N52" s="32"/>
      <c r="O52" s="32"/>
      <c r="P52" s="32"/>
      <c r="Q52" s="32">
        <f>'Balance Sheet Reported'!J52</f>
        <v>0</v>
      </c>
      <c r="R52" s="32">
        <v>3253</v>
      </c>
      <c r="S52" s="32">
        <v>3240</v>
      </c>
      <c r="T52" s="32">
        <v>3151</v>
      </c>
      <c r="U52" s="32">
        <f>'Balance Sheet Reported'!K52</f>
        <v>3136</v>
      </c>
      <c r="V52" s="32">
        <f>3863</f>
        <v>3863</v>
      </c>
      <c r="W52" s="32">
        <f>3787</f>
        <v>3787</v>
      </c>
      <c r="X52" s="32">
        <v>3857</v>
      </c>
      <c r="Y52" s="32">
        <f>'Balance Sheet Reported'!L52</f>
        <v>4032</v>
      </c>
      <c r="Z52" s="32">
        <v>3975</v>
      </c>
      <c r="AA52" s="32">
        <v>3830</v>
      </c>
      <c r="AB52" s="32">
        <v>3771</v>
      </c>
    </row>
    <row r="53" spans="1:28" x14ac:dyDescent="0.3">
      <c r="A53" s="85" t="s">
        <v>109</v>
      </c>
      <c r="B53" s="32"/>
      <c r="C53" s="32"/>
      <c r="D53" s="32"/>
      <c r="E53" s="32">
        <f>'Balance Sheet Reported'!G53</f>
        <v>0</v>
      </c>
      <c r="F53" s="32"/>
      <c r="G53" s="32"/>
      <c r="H53" s="32"/>
      <c r="I53" s="32">
        <f>'Balance Sheet Reported'!H53</f>
        <v>0</v>
      </c>
      <c r="J53" s="32"/>
      <c r="K53" s="32"/>
      <c r="L53" s="32"/>
      <c r="M53" s="32">
        <f>'Balance Sheet Reported'!I53</f>
        <v>0</v>
      </c>
      <c r="N53" s="32"/>
      <c r="O53" s="32"/>
      <c r="P53" s="32"/>
      <c r="Q53" s="32">
        <f>'Balance Sheet Reported'!J53</f>
        <v>0</v>
      </c>
      <c r="R53" s="32"/>
      <c r="S53" s="32"/>
      <c r="T53" s="32"/>
      <c r="U53" s="32">
        <f>'Balance Sheet Reported'!K53</f>
        <v>0</v>
      </c>
      <c r="V53" s="32"/>
      <c r="W53" s="32"/>
      <c r="X53" s="32"/>
      <c r="Y53" s="32">
        <f>'Balance Sheet Reported'!L53</f>
        <v>0</v>
      </c>
      <c r="Z53" s="32"/>
      <c r="AA53" s="32"/>
      <c r="AB53" s="32"/>
    </row>
    <row r="54" spans="1:28" x14ac:dyDescent="0.3">
      <c r="A54" s="85" t="s">
        <v>110</v>
      </c>
      <c r="B54" s="32">
        <v>2145</v>
      </c>
      <c r="C54" s="32">
        <v>2209</v>
      </c>
      <c r="D54" s="32">
        <v>2193</v>
      </c>
      <c r="E54" s="32">
        <f>'Balance Sheet Reported'!G54</f>
        <v>2245</v>
      </c>
      <c r="F54" s="32">
        <v>2647</v>
      </c>
      <c r="G54" s="32">
        <v>2795</v>
      </c>
      <c r="H54" s="32">
        <v>2898</v>
      </c>
      <c r="I54" s="32">
        <f>'Balance Sheet Reported'!H54</f>
        <v>2436</v>
      </c>
      <c r="J54" s="32">
        <v>2559</v>
      </c>
      <c r="K54" s="32">
        <v>2697</v>
      </c>
      <c r="L54" s="32">
        <v>2595</v>
      </c>
      <c r="M54" s="32">
        <f>'Balance Sheet Reported'!I54</f>
        <v>2592</v>
      </c>
      <c r="N54" s="32">
        <v>2575</v>
      </c>
      <c r="O54" s="32">
        <v>2502</v>
      </c>
      <c r="P54" s="32">
        <v>2447</v>
      </c>
      <c r="Q54" s="32">
        <f>'Balance Sheet Reported'!J54</f>
        <v>2547</v>
      </c>
      <c r="R54" s="32">
        <v>2796</v>
      </c>
      <c r="S54" s="32">
        <v>2974</v>
      </c>
      <c r="T54" s="32">
        <v>3016</v>
      </c>
      <c r="U54" s="32">
        <f>'Balance Sheet Reported'!K54</f>
        <v>2930</v>
      </c>
      <c r="V54" s="32">
        <v>2547</v>
      </c>
      <c r="W54" s="32">
        <f>3064</f>
        <v>3064</v>
      </c>
      <c r="X54" s="32">
        <v>3061</v>
      </c>
      <c r="Y54" s="32">
        <f>'Balance Sheet Reported'!L54</f>
        <v>3015</v>
      </c>
      <c r="Z54" s="32">
        <v>2628</v>
      </c>
      <c r="AA54" s="32">
        <v>2636</v>
      </c>
      <c r="AB54" s="32">
        <v>2551</v>
      </c>
    </row>
    <row r="55" spans="1:28" x14ac:dyDescent="0.3">
      <c r="A55" s="85" t="s">
        <v>111</v>
      </c>
      <c r="B55" s="32">
        <v>849</v>
      </c>
      <c r="C55" s="32">
        <v>831</v>
      </c>
      <c r="D55" s="32">
        <v>923</v>
      </c>
      <c r="E55" s="32">
        <f>'Balance Sheet Reported'!G55</f>
        <v>892</v>
      </c>
      <c r="F55" s="32">
        <v>822</v>
      </c>
      <c r="G55" s="32">
        <v>845</v>
      </c>
      <c r="H55" s="32">
        <v>874</v>
      </c>
      <c r="I55" s="32">
        <f>'Balance Sheet Reported'!H55</f>
        <v>922</v>
      </c>
      <c r="J55" s="32">
        <v>961</v>
      </c>
      <c r="K55" s="32">
        <v>992</v>
      </c>
      <c r="L55" s="32">
        <v>968</v>
      </c>
      <c r="M55" s="32">
        <f>'Balance Sheet Reported'!I55</f>
        <v>1003</v>
      </c>
      <c r="N55" s="32">
        <v>1051</v>
      </c>
      <c r="O55" s="32">
        <v>1065</v>
      </c>
      <c r="P55" s="32">
        <v>1058</v>
      </c>
      <c r="Q55" s="32">
        <f>'Balance Sheet Reported'!J55</f>
        <v>1307</v>
      </c>
      <c r="R55" s="32">
        <v>1259</v>
      </c>
      <c r="S55" s="32">
        <v>1174</v>
      </c>
      <c r="T55" s="32">
        <v>1094</v>
      </c>
      <c r="U55" s="32">
        <f>'Balance Sheet Reported'!K55</f>
        <v>1240</v>
      </c>
      <c r="V55" s="32">
        <v>1275</v>
      </c>
      <c r="W55" s="32">
        <f>1126</f>
        <v>1126</v>
      </c>
      <c r="X55" s="32">
        <v>1020</v>
      </c>
      <c r="Y55" s="32">
        <f>'Balance Sheet Reported'!L55</f>
        <v>1040</v>
      </c>
      <c r="Z55" s="32">
        <v>968</v>
      </c>
      <c r="AA55" s="32">
        <v>961</v>
      </c>
      <c r="AB55" s="32">
        <v>968</v>
      </c>
    </row>
    <row r="56" spans="1:28" x14ac:dyDescent="0.3">
      <c r="A56" s="85" t="s">
        <v>112</v>
      </c>
      <c r="B56" s="36">
        <v>308</v>
      </c>
      <c r="C56" s="36">
        <v>283</v>
      </c>
      <c r="D56" s="36">
        <v>259</v>
      </c>
      <c r="E56" s="36">
        <f>'Balance Sheet Reported'!G56</f>
        <v>251</v>
      </c>
      <c r="F56" s="36">
        <v>237</v>
      </c>
      <c r="G56" s="36">
        <v>221</v>
      </c>
      <c r="H56" s="36">
        <v>204</v>
      </c>
      <c r="I56" s="36">
        <f>'Balance Sheet Reported'!H56</f>
        <v>202</v>
      </c>
      <c r="J56" s="36">
        <v>199</v>
      </c>
      <c r="K56" s="36">
        <v>194</v>
      </c>
      <c r="L56" s="36">
        <v>214</v>
      </c>
      <c r="M56" s="36">
        <f>'Balance Sheet Reported'!I56</f>
        <v>216</v>
      </c>
      <c r="N56" s="36">
        <v>204</v>
      </c>
      <c r="O56" s="36">
        <v>180</v>
      </c>
      <c r="P56" s="36">
        <v>145</v>
      </c>
      <c r="Q56" s="36">
        <f>'Balance Sheet Reported'!J56</f>
        <v>151</v>
      </c>
      <c r="R56" s="36">
        <v>146</v>
      </c>
      <c r="S56" s="36">
        <v>156</v>
      </c>
      <c r="T56" s="36">
        <v>166</v>
      </c>
      <c r="U56" s="36">
        <f>'Balance Sheet Reported'!K56</f>
        <v>181</v>
      </c>
      <c r="V56" s="36">
        <v>136</v>
      </c>
      <c r="W56" s="36">
        <f>490</f>
        <v>490</v>
      </c>
      <c r="X56" s="36">
        <v>436</v>
      </c>
      <c r="Y56" s="36">
        <f>'Balance Sheet Reported'!L56</f>
        <v>696</v>
      </c>
      <c r="Z56" s="36">
        <f>892</f>
        <v>892</v>
      </c>
      <c r="AA56" s="36">
        <v>1045</v>
      </c>
      <c r="AB56" s="36">
        <v>974</v>
      </c>
    </row>
    <row r="57" spans="1:28" x14ac:dyDescent="0.3">
      <c r="A57" s="14" t="s">
        <v>113</v>
      </c>
      <c r="B57" s="22">
        <f t="shared" ref="B57:K57" si="49">SUM(B50:B56)</f>
        <v>3302</v>
      </c>
      <c r="C57" s="22">
        <f t="shared" si="49"/>
        <v>3323</v>
      </c>
      <c r="D57" s="22">
        <f t="shared" si="49"/>
        <v>3375</v>
      </c>
      <c r="E57" s="22">
        <f t="shared" si="49"/>
        <v>3388</v>
      </c>
      <c r="F57" s="22">
        <f t="shared" si="49"/>
        <v>3706</v>
      </c>
      <c r="G57" s="22">
        <f t="shared" si="49"/>
        <v>3861</v>
      </c>
      <c r="H57" s="22">
        <f t="shared" si="49"/>
        <v>3976</v>
      </c>
      <c r="I57" s="22">
        <f t="shared" si="49"/>
        <v>3560</v>
      </c>
      <c r="J57" s="22">
        <f t="shared" si="49"/>
        <v>3719</v>
      </c>
      <c r="K57" s="22">
        <f t="shared" si="49"/>
        <v>3883</v>
      </c>
      <c r="L57" s="22">
        <f t="shared" ref="L57:O57" si="50">SUM(L50:L56)</f>
        <v>3777</v>
      </c>
      <c r="M57" s="22">
        <f t="shared" si="50"/>
        <v>3811</v>
      </c>
      <c r="N57" s="22">
        <f t="shared" si="50"/>
        <v>3830</v>
      </c>
      <c r="O57" s="22">
        <f t="shared" si="50"/>
        <v>3747</v>
      </c>
      <c r="P57" s="22">
        <f t="shared" ref="P57:R57" si="51">SUM(P50:P56)</f>
        <v>3760</v>
      </c>
      <c r="Q57" s="22">
        <f t="shared" si="51"/>
        <v>4057</v>
      </c>
      <c r="R57" s="22">
        <f t="shared" si="51"/>
        <v>7527</v>
      </c>
      <c r="S57" s="22">
        <f t="shared" ref="S57:T57" si="52">SUM(S50:S56)</f>
        <v>7617</v>
      </c>
      <c r="T57" s="22">
        <f t="shared" si="52"/>
        <v>7500</v>
      </c>
      <c r="U57" s="22">
        <f t="shared" ref="U57:Y57" si="53">SUM(U50:U56)</f>
        <v>7560</v>
      </c>
      <c r="V57" s="22">
        <f t="shared" si="53"/>
        <v>7997</v>
      </c>
      <c r="W57" s="22">
        <f t="shared" si="53"/>
        <v>8540</v>
      </c>
      <c r="X57" s="22">
        <f t="shared" si="53"/>
        <v>8447</v>
      </c>
      <c r="Y57" s="22">
        <f t="shared" si="53"/>
        <v>8858</v>
      </c>
      <c r="Z57" s="22">
        <f t="shared" ref="Z57:AA57" si="54">SUM(Z50:Z56)</f>
        <v>8538</v>
      </c>
      <c r="AA57" s="22">
        <f t="shared" si="54"/>
        <v>8547</v>
      </c>
      <c r="AB57" s="22">
        <f t="shared" ref="AB57" si="55">SUM(AB50:AB56)</f>
        <v>8339</v>
      </c>
    </row>
    <row r="58" spans="1:28" ht="15" thickBot="1" x14ac:dyDescent="0.35">
      <c r="A58" s="14" t="s">
        <v>255</v>
      </c>
      <c r="B58" s="24">
        <f t="shared" ref="B58:K58" si="56">B34-B43-B49-B57</f>
        <v>-1213</v>
      </c>
      <c r="C58" s="24">
        <f t="shared" si="56"/>
        <v>-388</v>
      </c>
      <c r="D58" s="24">
        <f t="shared" si="56"/>
        <v>-51</v>
      </c>
      <c r="E58" s="24">
        <f t="shared" si="56"/>
        <v>40</v>
      </c>
      <c r="F58" s="24">
        <f t="shared" si="56"/>
        <v>-732</v>
      </c>
      <c r="G58" s="24">
        <f t="shared" si="56"/>
        <v>-673</v>
      </c>
      <c r="H58" s="24">
        <f t="shared" si="56"/>
        <v>161</v>
      </c>
      <c r="I58" s="24">
        <f t="shared" si="56"/>
        <v>1219</v>
      </c>
      <c r="J58" s="24">
        <f t="shared" si="56"/>
        <v>925</v>
      </c>
      <c r="K58" s="24">
        <f t="shared" si="56"/>
        <v>1197</v>
      </c>
      <c r="L58" s="24">
        <f t="shared" ref="L58:O58" si="57">L34-L43-L49-L57</f>
        <v>3067</v>
      </c>
      <c r="M58" s="24">
        <f t="shared" si="57"/>
        <v>3379</v>
      </c>
      <c r="N58" s="24">
        <f t="shared" si="57"/>
        <v>3307</v>
      </c>
      <c r="O58" s="24">
        <f t="shared" si="57"/>
        <v>3907</v>
      </c>
      <c r="P58" s="24">
        <f t="shared" ref="P58:R58" si="58">P34-P43-P49-P57</f>
        <v>4550</v>
      </c>
      <c r="Q58" s="24">
        <f t="shared" si="58"/>
        <v>3277</v>
      </c>
      <c r="R58" s="24">
        <f t="shared" si="58"/>
        <v>3289</v>
      </c>
      <c r="S58" s="24">
        <f t="shared" ref="S58:T58" si="59">S34-S43-S49-S57</f>
        <v>3366</v>
      </c>
      <c r="T58" s="24">
        <f t="shared" si="59"/>
        <v>4043</v>
      </c>
      <c r="U58" s="24">
        <f t="shared" ref="U58:Y58" si="60">U34-U43-U49-U57</f>
        <v>4400</v>
      </c>
      <c r="V58" s="24">
        <f t="shared" si="60"/>
        <v>4261</v>
      </c>
      <c r="W58" s="24">
        <f t="shared" si="60"/>
        <v>2043</v>
      </c>
      <c r="X58" s="24">
        <f t="shared" si="60"/>
        <v>1715</v>
      </c>
      <c r="Y58" s="24">
        <f t="shared" si="60"/>
        <v>1715</v>
      </c>
      <c r="Z58" s="24">
        <f t="shared" ref="Z58:AA58" si="61">Z34-Z43-Z49-Z57</f>
        <v>904</v>
      </c>
      <c r="AA58" s="24">
        <f t="shared" si="61"/>
        <v>577</v>
      </c>
      <c r="AB58" s="24">
        <f t="shared" ref="AB58" si="62">AB34-AB43-AB49-AB57</f>
        <v>145</v>
      </c>
    </row>
    <row r="59" spans="1:28" ht="15" thickTop="1" x14ac:dyDescent="0.3">
      <c r="A59" s="85" t="s">
        <v>114</v>
      </c>
      <c r="B59" s="32">
        <v>836</v>
      </c>
      <c r="C59" s="32">
        <v>838</v>
      </c>
      <c r="D59" s="32">
        <v>827</v>
      </c>
      <c r="E59" s="32">
        <f>'Balance Sheet Reported'!G59</f>
        <v>825</v>
      </c>
      <c r="F59" s="32">
        <v>812</v>
      </c>
      <c r="G59" s="32">
        <v>806</v>
      </c>
      <c r="H59" s="32">
        <v>796</v>
      </c>
      <c r="I59" s="32">
        <f>'Balance Sheet Reported'!H59</f>
        <v>797</v>
      </c>
      <c r="J59" s="32">
        <v>791</v>
      </c>
      <c r="K59" s="32">
        <v>794</v>
      </c>
      <c r="L59" s="32">
        <v>801</v>
      </c>
      <c r="M59" s="32">
        <f>'Balance Sheet Reported'!I59</f>
        <v>799</v>
      </c>
      <c r="N59" s="32">
        <v>801</v>
      </c>
      <c r="O59" s="32">
        <v>799</v>
      </c>
      <c r="P59" s="32">
        <f>803</f>
        <v>803</v>
      </c>
      <c r="Q59" s="32">
        <f>'Balance Sheet Reported'!J59</f>
        <v>798</v>
      </c>
      <c r="R59" s="32">
        <v>794</v>
      </c>
      <c r="S59" s="32">
        <v>789</v>
      </c>
      <c r="T59" s="32">
        <v>791</v>
      </c>
      <c r="U59" s="32">
        <f>'Balance Sheet Reported'!K59</f>
        <v>785</v>
      </c>
      <c r="V59" s="32">
        <v>778</v>
      </c>
      <c r="W59" s="32">
        <v>1335</v>
      </c>
      <c r="X59" s="32">
        <v>1335</v>
      </c>
      <c r="Y59" s="32">
        <f>'Balance Sheet Reported'!L59</f>
        <v>2150</v>
      </c>
      <c r="Z59" s="32">
        <v>2229</v>
      </c>
      <c r="AA59" s="32">
        <v>2734</v>
      </c>
      <c r="AB59" s="32">
        <v>2734</v>
      </c>
    </row>
    <row r="60" spans="1:28" x14ac:dyDescent="0.3">
      <c r="A60" s="85" t="s">
        <v>115</v>
      </c>
      <c r="B60" s="32"/>
      <c r="C60" s="32"/>
      <c r="D60" s="32"/>
      <c r="E60" s="32">
        <f>'Balance Sheet Reported'!G60</f>
        <v>0</v>
      </c>
      <c r="F60" s="32"/>
      <c r="G60" s="32"/>
      <c r="H60" s="32">
        <v>0</v>
      </c>
      <c r="I60" s="32">
        <f>'Balance Sheet Reported'!H60</f>
        <v>0</v>
      </c>
      <c r="J60" s="32"/>
      <c r="K60" s="32"/>
      <c r="L60" s="32"/>
      <c r="M60" s="32">
        <f>'Balance Sheet Reported'!I60</f>
        <v>0</v>
      </c>
      <c r="N60" s="32"/>
      <c r="O60" s="32"/>
      <c r="P60" s="32"/>
      <c r="Q60" s="32">
        <f>'Balance Sheet Reported'!J60</f>
        <v>0</v>
      </c>
      <c r="R60" s="32"/>
      <c r="S60" s="32"/>
      <c r="T60" s="32"/>
      <c r="U60" s="32">
        <f>'Balance Sheet Reported'!K60</f>
        <v>0</v>
      </c>
      <c r="V60" s="32"/>
      <c r="W60" s="32"/>
      <c r="X60" s="32"/>
      <c r="Y60" s="32">
        <f>'Balance Sheet Reported'!L60</f>
        <v>0</v>
      </c>
      <c r="Z60" s="32"/>
      <c r="AA60" s="32"/>
      <c r="AB60" s="32"/>
    </row>
    <row r="61" spans="1:28" x14ac:dyDescent="0.3">
      <c r="A61" s="85" t="s">
        <v>116</v>
      </c>
      <c r="B61" s="32">
        <v>60</v>
      </c>
      <c r="C61" s="32">
        <v>61</v>
      </c>
      <c r="D61" s="32">
        <v>63</v>
      </c>
      <c r="E61" s="32">
        <f>'Balance Sheet Reported'!G61</f>
        <v>27</v>
      </c>
      <c r="F61" s="32"/>
      <c r="G61" s="32">
        <v>0</v>
      </c>
      <c r="H61" s="32">
        <v>0</v>
      </c>
      <c r="I61" s="32">
        <f>'Balance Sheet Reported'!H61</f>
        <v>0</v>
      </c>
      <c r="J61" s="32"/>
      <c r="K61" s="32"/>
      <c r="L61" s="32"/>
      <c r="M61" s="32">
        <f>'Balance Sheet Reported'!I61</f>
        <v>0</v>
      </c>
      <c r="N61" s="32"/>
      <c r="O61" s="32"/>
      <c r="P61" s="32"/>
      <c r="Q61" s="32">
        <f>'Balance Sheet Reported'!J61</f>
        <v>0</v>
      </c>
      <c r="R61" s="32"/>
      <c r="S61" s="32"/>
      <c r="T61" s="32"/>
      <c r="U61" s="32">
        <f>'Balance Sheet Reported'!K61</f>
        <v>0</v>
      </c>
      <c r="V61" s="32"/>
      <c r="W61" s="32"/>
      <c r="X61" s="32"/>
      <c r="Y61" s="32">
        <f>'Balance Sheet Reported'!L61</f>
        <v>0</v>
      </c>
      <c r="Z61" s="32"/>
      <c r="AA61" s="32"/>
      <c r="AB61" s="32"/>
    </row>
    <row r="62" spans="1:28" x14ac:dyDescent="0.3">
      <c r="A62" s="85" t="s">
        <v>117</v>
      </c>
      <c r="B62" s="32">
        <v>76</v>
      </c>
      <c r="C62" s="32">
        <v>75</v>
      </c>
      <c r="D62" s="32">
        <v>79</v>
      </c>
      <c r="E62" s="32">
        <f>'Balance Sheet Reported'!G62</f>
        <v>76</v>
      </c>
      <c r="F62" s="32">
        <v>80</v>
      </c>
      <c r="G62" s="32">
        <v>78</v>
      </c>
      <c r="H62" s="32">
        <v>81</v>
      </c>
      <c r="I62" s="32">
        <f>'Balance Sheet Reported'!H62</f>
        <v>83</v>
      </c>
      <c r="J62" s="32">
        <v>72</v>
      </c>
      <c r="K62" s="32">
        <v>69</v>
      </c>
      <c r="L62" s="32">
        <v>68</v>
      </c>
      <c r="M62" s="32">
        <f>'Balance Sheet Reported'!I62</f>
        <v>69</v>
      </c>
      <c r="N62" s="32">
        <v>69</v>
      </c>
      <c r="O62" s="32">
        <v>72</v>
      </c>
      <c r="P62" s="32">
        <f>73</f>
        <v>73</v>
      </c>
      <c r="Q62" s="32">
        <f>'Balance Sheet Reported'!J62</f>
        <v>75</v>
      </c>
      <c r="R62" s="32">
        <v>77</v>
      </c>
      <c r="S62" s="32">
        <v>81</v>
      </c>
      <c r="T62" s="32">
        <v>81</v>
      </c>
      <c r="U62" s="32">
        <f>'Balance Sheet Reported'!K62</f>
        <v>83</v>
      </c>
      <c r="V62" s="32">
        <v>87</v>
      </c>
      <c r="W62" s="32">
        <v>93</v>
      </c>
      <c r="X62" s="32">
        <v>97</v>
      </c>
      <c r="Y62" s="32">
        <f>'Balance Sheet Reported'!L62</f>
        <v>98</v>
      </c>
      <c r="Z62" s="32">
        <v>95</v>
      </c>
      <c r="AA62" s="32">
        <v>99</v>
      </c>
      <c r="AB62" s="32">
        <v>102</v>
      </c>
    </row>
    <row r="63" spans="1:28" x14ac:dyDescent="0.3">
      <c r="A63" s="85" t="s">
        <v>118</v>
      </c>
      <c r="B63" s="32">
        <v>-2185</v>
      </c>
      <c r="C63" s="32">
        <v>-1362</v>
      </c>
      <c r="D63" s="32">
        <v>-1020</v>
      </c>
      <c r="E63" s="32">
        <f>'Balance Sheet Reported'!G63</f>
        <v>-877</v>
      </c>
      <c r="F63" s="32">
        <v>-1616</v>
      </c>
      <c r="G63" s="32">
        <v>-1567</v>
      </c>
      <c r="H63" s="32">
        <v>-709</v>
      </c>
      <c r="I63" s="32">
        <f>'Balance Sheet Reported'!H63</f>
        <v>336</v>
      </c>
      <c r="J63" s="32">
        <v>64</v>
      </c>
      <c r="K63" s="32">
        <v>335</v>
      </c>
      <c r="L63" s="32">
        <v>2198</v>
      </c>
      <c r="M63" s="32">
        <f>'Balance Sheet Reported'!I63</f>
        <v>2511</v>
      </c>
      <c r="N63" s="32">
        <v>2437</v>
      </c>
      <c r="O63" s="32">
        <f>3038-2</f>
        <v>3036</v>
      </c>
      <c r="P63" s="32">
        <f>3670</f>
        <v>3670</v>
      </c>
      <c r="Q63" s="32">
        <f>'Balance Sheet Reported'!J63</f>
        <v>2404</v>
      </c>
      <c r="R63" s="32">
        <f>11+2407</f>
        <v>2418</v>
      </c>
      <c r="S63" s="32">
        <f>20+2480</f>
        <v>2500</v>
      </c>
      <c r="T63" s="32">
        <v>3152</v>
      </c>
      <c r="U63" s="32">
        <f>'Balance Sheet Reported'!K63</f>
        <v>3507</v>
      </c>
      <c r="V63" s="32">
        <f>3447</f>
        <v>3447</v>
      </c>
      <c r="W63" s="32">
        <f>666</f>
        <v>666</v>
      </c>
      <c r="X63" s="32">
        <v>346</v>
      </c>
      <c r="Y63" s="32">
        <f>'Balance Sheet Reported'!L63</f>
        <v>-494</v>
      </c>
      <c r="Z63" s="32">
        <v>-1394</v>
      </c>
      <c r="AA63" s="32">
        <v>-2233</v>
      </c>
      <c r="AB63" s="32">
        <v>-2653</v>
      </c>
    </row>
    <row r="64" spans="1:28" x14ac:dyDescent="0.3">
      <c r="A64" s="85" t="s">
        <v>119</v>
      </c>
      <c r="B64" s="32"/>
      <c r="C64" s="32"/>
      <c r="D64" s="32"/>
      <c r="E64" s="32">
        <f>'Balance Sheet Reported'!G64</f>
        <v>-11</v>
      </c>
      <c r="F64" s="32">
        <v>-8</v>
      </c>
      <c r="G64" s="32">
        <v>10</v>
      </c>
      <c r="H64" s="32">
        <v>-7</v>
      </c>
      <c r="I64" s="32">
        <f>'Balance Sheet Reported'!H64</f>
        <v>3</v>
      </c>
      <c r="J64" s="32">
        <v>-2</v>
      </c>
      <c r="K64" s="32">
        <v>-1</v>
      </c>
      <c r="L64" s="32"/>
      <c r="M64" s="32">
        <f>'Balance Sheet Reported'!I64</f>
        <v>0</v>
      </c>
      <c r="N64" s="32"/>
      <c r="O64" s="32"/>
      <c r="P64" s="32">
        <f>4</f>
        <v>4</v>
      </c>
      <c r="Q64" s="32">
        <f>'Balance Sheet Reported'!J64</f>
        <v>0</v>
      </c>
      <c r="R64" s="32"/>
      <c r="S64" s="32">
        <v>-4</v>
      </c>
      <c r="T64" s="32">
        <v>19</v>
      </c>
      <c r="U64" s="32">
        <f>'Balance Sheet Reported'!K64</f>
        <v>25</v>
      </c>
      <c r="V64" s="32">
        <f>-51</f>
        <v>-51</v>
      </c>
      <c r="W64" s="32">
        <v>-51</v>
      </c>
      <c r="X64" s="32">
        <v>-63</v>
      </c>
      <c r="Y64" s="32">
        <f>'Balance Sheet Reported'!L64</f>
        <v>-39</v>
      </c>
      <c r="Z64" s="32">
        <f>-26</f>
        <v>-26</v>
      </c>
      <c r="AA64" s="32">
        <v>-23</v>
      </c>
      <c r="AB64" s="32">
        <v>-38</v>
      </c>
    </row>
    <row r="65" spans="1:28" x14ac:dyDescent="0.3">
      <c r="A65" s="85" t="s">
        <v>120</v>
      </c>
      <c r="B65" s="32"/>
      <c r="C65" s="32"/>
      <c r="D65" s="32"/>
      <c r="E65" s="32">
        <f>'Balance Sheet Reported'!G65</f>
        <v>0</v>
      </c>
      <c r="F65" s="32"/>
      <c r="G65" s="32"/>
      <c r="H65" s="32"/>
      <c r="I65" s="32">
        <f>'Balance Sheet Reported'!H65</f>
        <v>0</v>
      </c>
      <c r="J65" s="32"/>
      <c r="K65" s="32"/>
      <c r="L65" s="32"/>
      <c r="M65" s="32">
        <f>'Balance Sheet Reported'!I65</f>
        <v>0</v>
      </c>
      <c r="N65" s="32"/>
      <c r="O65" s="32"/>
      <c r="P65" s="32"/>
      <c r="Q65" s="32">
        <f>'Balance Sheet Reported'!J65</f>
        <v>0</v>
      </c>
      <c r="R65" s="32"/>
      <c r="S65" s="32"/>
      <c r="T65" s="32"/>
      <c r="U65" s="32">
        <f>'Balance Sheet Reported'!K65</f>
        <v>0</v>
      </c>
      <c r="V65" s="32"/>
      <c r="W65" s="32"/>
      <c r="X65" s="32"/>
      <c r="Y65" s="32">
        <f>'Balance Sheet Reported'!L65</f>
        <v>0</v>
      </c>
      <c r="Z65" s="32"/>
      <c r="AA65" s="32"/>
      <c r="AB65" s="32"/>
    </row>
    <row r="66" spans="1:28" ht="15" thickBot="1" x14ac:dyDescent="0.35">
      <c r="A66" s="14" t="s">
        <v>121</v>
      </c>
      <c r="B66" s="24">
        <f>SUM(B59:B65)</f>
        <v>-1213</v>
      </c>
      <c r="C66" s="24">
        <f t="shared" ref="C66:J66" si="63">SUM(C59:C65)</f>
        <v>-388</v>
      </c>
      <c r="D66" s="24">
        <f t="shared" si="63"/>
        <v>-51</v>
      </c>
      <c r="E66" s="24">
        <f t="shared" si="63"/>
        <v>40</v>
      </c>
      <c r="F66" s="24">
        <f t="shared" si="63"/>
        <v>-732</v>
      </c>
      <c r="G66" s="24">
        <f t="shared" si="63"/>
        <v>-673</v>
      </c>
      <c r="H66" s="24">
        <f t="shared" si="63"/>
        <v>161</v>
      </c>
      <c r="I66" s="24">
        <f t="shared" si="63"/>
        <v>1219</v>
      </c>
      <c r="J66" s="24">
        <f t="shared" si="63"/>
        <v>925</v>
      </c>
      <c r="K66" s="24">
        <f>SUM(K59:K65)</f>
        <v>1197</v>
      </c>
      <c r="L66" s="24">
        <f t="shared" ref="L66:O66" si="64">SUM(L59:L65)</f>
        <v>3067</v>
      </c>
      <c r="M66" s="24">
        <f t="shared" si="64"/>
        <v>3379</v>
      </c>
      <c r="N66" s="24">
        <f t="shared" si="64"/>
        <v>3307</v>
      </c>
      <c r="O66" s="24">
        <f t="shared" si="64"/>
        <v>3907</v>
      </c>
      <c r="P66" s="24">
        <f t="shared" ref="P66:R66" si="65">SUM(P59:P65)</f>
        <v>4550</v>
      </c>
      <c r="Q66" s="24">
        <f t="shared" si="65"/>
        <v>3277</v>
      </c>
      <c r="R66" s="24">
        <f t="shared" si="65"/>
        <v>3289</v>
      </c>
      <c r="S66" s="24">
        <f t="shared" ref="S66:T66" si="66">SUM(S59:S65)</f>
        <v>3366</v>
      </c>
      <c r="T66" s="24">
        <f t="shared" si="66"/>
        <v>4043</v>
      </c>
      <c r="U66" s="24">
        <f t="shared" ref="U66:Y66" si="67">SUM(U59:U65)</f>
        <v>4400</v>
      </c>
      <c r="V66" s="24">
        <f t="shared" si="67"/>
        <v>4261</v>
      </c>
      <c r="W66" s="24">
        <f t="shared" si="67"/>
        <v>2043</v>
      </c>
      <c r="X66" s="24">
        <f t="shared" si="67"/>
        <v>1715</v>
      </c>
      <c r="Y66" s="24">
        <f t="shared" si="67"/>
        <v>1715</v>
      </c>
      <c r="Z66" s="24">
        <f t="shared" ref="Z66:AA66" si="68">SUM(Z59:Z65)</f>
        <v>904</v>
      </c>
      <c r="AA66" s="24">
        <f t="shared" si="68"/>
        <v>577</v>
      </c>
      <c r="AB66" s="24">
        <f t="shared" ref="AB66" si="69">SUM(AB59:AB65)</f>
        <v>145</v>
      </c>
    </row>
    <row r="67" spans="1:28" ht="15" thickTop="1" x14ac:dyDescent="0.3">
      <c r="A67" s="14"/>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row>
    <row r="68" spans="1:28" ht="15" thickBot="1" x14ac:dyDescent="0.35">
      <c r="A68" s="14" t="s">
        <v>469</v>
      </c>
      <c r="B68" s="24">
        <f ca="1">IFERROR(B34+B73, "N/A")</f>
        <v>13912</v>
      </c>
      <c r="C68" s="24">
        <f t="shared" ref="C68:K68" ca="1" si="70">IFERROR(C34+C73, "N/A")</f>
        <v>14705</v>
      </c>
      <c r="D68" s="24">
        <f t="shared" ca="1" si="70"/>
        <v>15086</v>
      </c>
      <c r="E68" s="24">
        <f t="shared" ca="1" si="70"/>
        <v>15458</v>
      </c>
      <c r="F68" s="24">
        <f t="shared" ca="1" si="70"/>
        <v>16184</v>
      </c>
      <c r="G68" s="24">
        <f t="shared" ca="1" si="70"/>
        <v>17416</v>
      </c>
      <c r="H68" s="24">
        <f t="shared" ca="1" si="70"/>
        <v>17930</v>
      </c>
      <c r="I68" s="24">
        <f t="shared" ca="1" si="70"/>
        <v>18348</v>
      </c>
      <c r="J68" s="24">
        <f t="shared" ca="1" si="70"/>
        <v>19168</v>
      </c>
      <c r="K68" s="24">
        <f t="shared" ca="1" si="70"/>
        <v>20088</v>
      </c>
      <c r="L68" s="24">
        <f t="shared" ref="L68:O68" ca="1" si="71">IFERROR(L34+L73, "N/A")</f>
        <v>20900</v>
      </c>
      <c r="M68" s="24">
        <f t="shared" ca="1" si="71"/>
        <v>21219</v>
      </c>
      <c r="N68" s="24">
        <f t="shared" ca="1" si="71"/>
        <v>22512</v>
      </c>
      <c r="O68" s="24">
        <f t="shared" ca="1" si="71"/>
        <v>23630</v>
      </c>
      <c r="P68" s="24">
        <f t="shared" ref="P68:R68" ca="1" si="72">IFERROR(P34+P73, "N/A")</f>
        <v>23354</v>
      </c>
      <c r="Q68" s="24">
        <f t="shared" ca="1" si="72"/>
        <v>25509</v>
      </c>
      <c r="R68" s="24">
        <f t="shared" si="72"/>
        <v>27231</v>
      </c>
      <c r="S68" s="24">
        <f t="shared" ref="S68:T68" si="73">IFERROR(S34+S73, "N/A")</f>
        <v>27660</v>
      </c>
      <c r="T68" s="24">
        <f t="shared" si="73"/>
        <v>27497</v>
      </c>
      <c r="U68" s="24">
        <f t="shared" ref="U68:Y68" si="74">IFERROR(U34+U73, "N/A")</f>
        <v>27759</v>
      </c>
      <c r="V68" s="24">
        <f t="shared" si="74"/>
        <v>28336</v>
      </c>
      <c r="W68" s="24">
        <f t="shared" si="74"/>
        <v>29405</v>
      </c>
      <c r="X68" s="24">
        <f t="shared" si="74"/>
        <v>28559</v>
      </c>
      <c r="Y68" s="24">
        <f t="shared" si="74"/>
        <v>28913</v>
      </c>
      <c r="Z68" s="24">
        <f t="shared" ref="Z68:AA68" si="75">IFERROR(Z34+Z73, "N/A")</f>
        <v>27464</v>
      </c>
      <c r="AA68" s="24">
        <f t="shared" si="75"/>
        <v>26504</v>
      </c>
      <c r="AB68" s="24">
        <f t="shared" ref="AB68" si="76">IFERROR(AB34+AB73, "N/A")</f>
        <v>30300</v>
      </c>
    </row>
    <row r="69" spans="1:28" ht="15" thickTop="1" x14ac:dyDescent="0.3">
      <c r="A69" s="8" t="s">
        <v>122</v>
      </c>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3">
      <c r="A70" s="85" t="s">
        <v>123</v>
      </c>
      <c r="B70" s="21">
        <f>B35+B36+B45+B46+B47</f>
        <v>5807</v>
      </c>
      <c r="C70" s="21">
        <f t="shared" ref="C70:I70" si="77">C35+C36+C45+C46+C47</f>
        <v>5621</v>
      </c>
      <c r="D70" s="21">
        <f>D35+D36+D45+D46+D47</f>
        <v>6138</v>
      </c>
      <c r="E70" s="21">
        <f t="shared" si="77"/>
        <v>6394</v>
      </c>
      <c r="F70" s="21">
        <f t="shared" si="77"/>
        <v>6448</v>
      </c>
      <c r="G70" s="21">
        <f t="shared" si="77"/>
        <v>6950</v>
      </c>
      <c r="H70" s="21">
        <f t="shared" si="77"/>
        <v>6977</v>
      </c>
      <c r="I70" s="21">
        <f t="shared" si="77"/>
        <v>6618</v>
      </c>
      <c r="J70" s="21">
        <f>J35+J36+J45+J46+J47</f>
        <v>6784</v>
      </c>
      <c r="K70" s="21">
        <f>K35+K36+K45+K46+K47</f>
        <v>6765</v>
      </c>
      <c r="L70" s="21">
        <f t="shared" ref="L70:O70" si="78">L35+L36+L45+L46+L47</f>
        <v>6329</v>
      </c>
      <c r="M70" s="21">
        <f t="shared" si="78"/>
        <v>6119</v>
      </c>
      <c r="N70" s="21">
        <f t="shared" si="78"/>
        <v>6737</v>
      </c>
      <c r="O70" s="21">
        <f t="shared" si="78"/>
        <v>7008</v>
      </c>
      <c r="P70" s="21">
        <f t="shared" ref="P70:R70" si="79">P35+P36+P45+P46+P47</f>
        <v>6678</v>
      </c>
      <c r="Q70" s="21">
        <f t="shared" si="79"/>
        <v>9921</v>
      </c>
      <c r="R70" s="21">
        <f t="shared" si="79"/>
        <v>9696</v>
      </c>
      <c r="S70" s="21">
        <f t="shared" ref="S70:T70" si="80">S35+S36+S45+S46+S47</f>
        <v>9451</v>
      </c>
      <c r="T70" s="21">
        <f t="shared" si="80"/>
        <v>9360</v>
      </c>
      <c r="U70" s="21">
        <f t="shared" ref="U70:Y70" si="81">U35+U36+U45+U46+U47</f>
        <v>9242</v>
      </c>
      <c r="V70" s="21">
        <f t="shared" si="81"/>
        <v>10693</v>
      </c>
      <c r="W70" s="21">
        <f t="shared" si="81"/>
        <v>13684</v>
      </c>
      <c r="X70" s="21">
        <f t="shared" si="81"/>
        <v>13162</v>
      </c>
      <c r="Y70" s="21">
        <f t="shared" si="81"/>
        <v>12989</v>
      </c>
      <c r="Z70" s="21">
        <f t="shared" ref="Z70:AA70" si="82">Z35+Z36+Z45+Z46+Z47</f>
        <v>12752</v>
      </c>
      <c r="AA70" s="21">
        <f t="shared" si="82"/>
        <v>12746</v>
      </c>
      <c r="AB70" s="21">
        <f t="shared" ref="AB70" si="83">AB35+AB36+AB45+AB46+AB47</f>
        <v>16682</v>
      </c>
    </row>
    <row r="71" spans="1:28" x14ac:dyDescent="0.3">
      <c r="A71" s="85" t="s">
        <v>124</v>
      </c>
      <c r="B71" s="21">
        <f>B25+B26</f>
        <v>2850</v>
      </c>
      <c r="C71" s="21">
        <f t="shared" ref="C71:I71" si="84">C25+C26</f>
        <v>3021</v>
      </c>
      <c r="D71" s="21">
        <f t="shared" si="84"/>
        <v>3116</v>
      </c>
      <c r="E71" s="21">
        <f>E25+E26</f>
        <v>2672</v>
      </c>
      <c r="F71" s="21">
        <f t="shared" si="84"/>
        <v>2947</v>
      </c>
      <c r="G71" s="21">
        <f t="shared" si="84"/>
        <v>3148</v>
      </c>
      <c r="H71" s="21">
        <f t="shared" si="84"/>
        <v>3434</v>
      </c>
      <c r="I71" s="21">
        <f t="shared" si="84"/>
        <v>2979</v>
      </c>
      <c r="J71" s="21">
        <f>J25+J26</f>
        <v>3624</v>
      </c>
      <c r="K71" s="21">
        <f>K25+K26</f>
        <v>4054</v>
      </c>
      <c r="L71" s="21">
        <f t="shared" ref="L71:O71" si="85">L25+L26</f>
        <v>4135</v>
      </c>
      <c r="M71" s="21">
        <f t="shared" si="85"/>
        <v>3804</v>
      </c>
      <c r="N71" s="21">
        <f t="shared" si="85"/>
        <v>4496</v>
      </c>
      <c r="O71" s="21">
        <f t="shared" si="85"/>
        <v>4670</v>
      </c>
      <c r="P71" s="21">
        <f t="shared" ref="P71:R71" si="86">P25+P26</f>
        <v>4922</v>
      </c>
      <c r="Q71" s="21">
        <f t="shared" si="86"/>
        <v>4707</v>
      </c>
      <c r="R71" s="21">
        <f t="shared" si="86"/>
        <v>5876</v>
      </c>
      <c r="S71" s="21">
        <f t="shared" ref="S71:T71" si="87">S25+S26</f>
        <v>5921</v>
      </c>
      <c r="T71" s="21">
        <f t="shared" si="87"/>
        <v>5869</v>
      </c>
      <c r="U71" s="21">
        <f t="shared" ref="U71:Y71" si="88">U25+U26</f>
        <v>5889</v>
      </c>
      <c r="V71" s="21">
        <f t="shared" si="88"/>
        <v>6128</v>
      </c>
      <c r="W71" s="21">
        <f t="shared" si="88"/>
        <v>8644</v>
      </c>
      <c r="X71" s="21">
        <f t="shared" si="88"/>
        <v>7775</v>
      </c>
      <c r="Y71" s="21">
        <f t="shared" si="88"/>
        <v>7501</v>
      </c>
      <c r="Z71" s="21">
        <f t="shared" ref="Z71:AA71" si="89">Z25+Z26</f>
        <v>5969</v>
      </c>
      <c r="AA71" s="21">
        <f t="shared" si="89"/>
        <v>5093</v>
      </c>
      <c r="AB71" s="21">
        <f t="shared" ref="AB71" si="90">AB25+AB26</f>
        <v>8702</v>
      </c>
    </row>
    <row r="72" spans="1:28" x14ac:dyDescent="0.3">
      <c r="A72" s="85" t="s">
        <v>125</v>
      </c>
      <c r="B72" s="21">
        <f>B70-B71</f>
        <v>2957</v>
      </c>
      <c r="C72" s="21">
        <f t="shared" ref="C72:I72" si="91">C70-C71</f>
        <v>2600</v>
      </c>
      <c r="D72" s="21">
        <f t="shared" si="91"/>
        <v>3022</v>
      </c>
      <c r="E72" s="21">
        <f t="shared" si="91"/>
        <v>3722</v>
      </c>
      <c r="F72" s="21">
        <f t="shared" si="91"/>
        <v>3501</v>
      </c>
      <c r="G72" s="21">
        <f t="shared" si="91"/>
        <v>3802</v>
      </c>
      <c r="H72" s="21">
        <f t="shared" si="91"/>
        <v>3543</v>
      </c>
      <c r="I72" s="21">
        <f t="shared" si="91"/>
        <v>3639</v>
      </c>
      <c r="J72" s="21">
        <f>J70-J71</f>
        <v>3160</v>
      </c>
      <c r="K72" s="21">
        <f>K70-K71</f>
        <v>2711</v>
      </c>
      <c r="L72" s="21">
        <f t="shared" ref="L72:O72" si="92">L70-L71</f>
        <v>2194</v>
      </c>
      <c r="M72" s="21">
        <f t="shared" si="92"/>
        <v>2315</v>
      </c>
      <c r="N72" s="21">
        <f t="shared" si="92"/>
        <v>2241</v>
      </c>
      <c r="O72" s="21">
        <f t="shared" si="92"/>
        <v>2338</v>
      </c>
      <c r="P72" s="21">
        <f t="shared" ref="P72:R72" si="93">P70-P71</f>
        <v>1756</v>
      </c>
      <c r="Q72" s="21">
        <f t="shared" si="93"/>
        <v>5214</v>
      </c>
      <c r="R72" s="21">
        <f t="shared" si="93"/>
        <v>3820</v>
      </c>
      <c r="S72" s="21">
        <f t="shared" ref="S72:T72" si="94">S70-S71</f>
        <v>3530</v>
      </c>
      <c r="T72" s="21">
        <f t="shared" si="94"/>
        <v>3491</v>
      </c>
      <c r="U72" s="21">
        <f t="shared" ref="U72:Y72" si="95">U70-U71</f>
        <v>3353</v>
      </c>
      <c r="V72" s="21">
        <f t="shared" si="95"/>
        <v>4565</v>
      </c>
      <c r="W72" s="21">
        <f t="shared" si="95"/>
        <v>5040</v>
      </c>
      <c r="X72" s="21">
        <f t="shared" si="95"/>
        <v>5387</v>
      </c>
      <c r="Y72" s="21">
        <f t="shared" si="95"/>
        <v>5488</v>
      </c>
      <c r="Z72" s="21">
        <f t="shared" ref="Z72:AA72" si="96">Z70-Z71</f>
        <v>6783</v>
      </c>
      <c r="AA72" s="21">
        <f t="shared" si="96"/>
        <v>7653</v>
      </c>
      <c r="AB72" s="21">
        <f t="shared" ref="AB72" si="97">AB70-AB71</f>
        <v>7980</v>
      </c>
    </row>
    <row r="73" spans="1:28" x14ac:dyDescent="0.3">
      <c r="A73" s="85" t="s">
        <v>126</v>
      </c>
      <c r="B73" s="21">
        <f ca="1">IFERROR(IF(Inputs!$E$14="Quarterly",IF(YEAR(B3)&lt;2016,-AVERAGE('Annual Inc Statement Reported'!$F$27,'Annual Inc Statement Reported'!$G$27)*7,-SUM(OFFSET('Interim Inc Statement Reported'!B27,0,-3,,4))*7),IF(B3&lt;=DATE(2014,6,30),-AVERAGE('Annual Inc Statement Reported'!$E$27,'Annual Inc Statement Reported'!$F$27)*7,-SUM(OFFSET('Interim Inc Statement Reported'!B27,0,-1,,2))*7)),"")</f>
        <v>2331</v>
      </c>
      <c r="C73" s="21">
        <f ca="1">IFERROR(IF(Inputs!$E$14="Quarterly",IF(YEAR(C3)&lt;2016,-AVERAGE('Annual Inc Statement Reported'!$F$27,'Annual Inc Statement Reported'!$G$27)*7,-SUM(OFFSET('Interim Inc Statement Reported'!C27,0,-3,,4))*7),IF(C3&lt;=DATE(2014,6,30),-AVERAGE('Annual Inc Statement Reported'!$E$27,'Annual Inc Statement Reported'!$F$27)*7,-SUM(OFFSET('Interim Inc Statement Reported'!C27,0,-1,,2))*7)),"")</f>
        <v>2331</v>
      </c>
      <c r="D73" s="21">
        <f ca="1">IFERROR(IF(Inputs!$E$14="Quarterly",IF(YEAR(D3)&lt;2016,-AVERAGE('Annual Inc Statement Reported'!$F$27,'Annual Inc Statement Reported'!$G$27)*7,-SUM(OFFSET('Interim Inc Statement Reported'!D27,0,-3,,4))*7),IF(D3&lt;=DATE(2014,6,30),-AVERAGE('Annual Inc Statement Reported'!$E$27,'Annual Inc Statement Reported'!$F$27)*7,-SUM(OFFSET('Interim Inc Statement Reported'!D27,0,-1,,2))*7)),"")</f>
        <v>2331</v>
      </c>
      <c r="E73" s="21">
        <f ca="1">IFERROR(IF(Inputs!$E$14="Quarterly",IF(YEAR(E3)&lt;2016,-AVERAGE('Annual Inc Statement Reported'!$F$27,'Annual Inc Statement Reported'!$G$27)*7,-SUM(OFFSET('Interim Inc Statement Reported'!E27,0,-3,,4))*7),IF(E3&lt;=DATE(2014,6,30),-AVERAGE('Annual Inc Statement Reported'!$E$27,'Annual Inc Statement Reported'!$F$27)*7,-SUM(OFFSET('Interim Inc Statement Reported'!E27,0,-1,,2))*7)),"")</f>
        <v>2331</v>
      </c>
      <c r="F73" s="21">
        <f ca="1">IFERROR(IF(Inputs!$E$14="Quarterly",IF(YEAR(F3)&lt;2016,-AVERAGE('Annual Inc Statement Reported'!$F$27,'Annual Inc Statement Reported'!$G$27)*7,-SUM(OFFSET('Interim Inc Statement Reported'!F27,0,-3,,4))*7),IF(F3&lt;=DATE(2014,6,30),-AVERAGE('Annual Inc Statement Reported'!$E$27,'Annual Inc Statement Reported'!$F$27)*7,-SUM(OFFSET('Interim Inc Statement Reported'!F27,0,-1,,2))*7)),"")</f>
        <v>2681</v>
      </c>
      <c r="G73" s="21">
        <f ca="1">IFERROR(IF(Inputs!$E$14="Quarterly",IF(YEAR(G3)&lt;2016,-AVERAGE('Annual Inc Statement Reported'!$F$27,'Annual Inc Statement Reported'!$G$27)*7,-SUM(OFFSET('Interim Inc Statement Reported'!G27,0,-3,,4))*7),IF(G3&lt;=DATE(2014,6,30),-AVERAGE('Annual Inc Statement Reported'!$E$27,'Annual Inc Statement Reported'!$F$27)*7,-SUM(OFFSET('Interim Inc Statement Reported'!G27,0,-1,,2))*7)),"")</f>
        <v>2877</v>
      </c>
      <c r="H73" s="21">
        <f ca="1">IFERROR(IF(Inputs!$E$14="Quarterly",IF(YEAR(H3)&lt;2016,-AVERAGE('Annual Inc Statement Reported'!$F$27,'Annual Inc Statement Reported'!$G$27)*7,-SUM(OFFSET('Interim Inc Statement Reported'!H27,0,-3,,4))*7),IF(H3&lt;=DATE(2014,6,30),-AVERAGE('Annual Inc Statement Reported'!$E$27,'Annual Inc Statement Reported'!$F$27)*7,-SUM(OFFSET('Interim Inc Statement Reported'!H27,0,-1,,2))*7)),"")</f>
        <v>3080</v>
      </c>
      <c r="I73" s="21">
        <f ca="1">IFERROR(IF(Inputs!$E$14="Quarterly",IF(YEAR(I3)&lt;2016,-AVERAGE('Annual Inc Statement Reported'!$F$27,'Annual Inc Statement Reported'!$G$27)*7,-SUM(OFFSET('Interim Inc Statement Reported'!I27,0,-3,,4))*7),IF(I3&lt;=DATE(2014,6,30),-AVERAGE('Annual Inc Statement Reported'!$E$27,'Annual Inc Statement Reported'!$F$27)*7,-SUM(OFFSET('Interim Inc Statement Reported'!I27,0,-1,,2))*7)),"")</f>
        <v>3234</v>
      </c>
      <c r="J73" s="21">
        <f ca="1">IFERROR(IF(Inputs!$E$14="Quarterly",IF(YEAR(J3)&lt;2016,-AVERAGE('Annual Inc Statement Reported'!$F$27,'Annual Inc Statement Reported'!$G$27)*7,-SUM(OFFSET('Interim Inc Statement Reported'!J27,0,-3,,4))*7),IF(J3&lt;=DATE(2014,6,30),-AVERAGE('Annual Inc Statement Reported'!$E$27,'Annual Inc Statement Reported'!$F$27)*7,-SUM(OFFSET('Interim Inc Statement Reported'!J27,0,-1,,2))*7)),"")</f>
        <v>3304</v>
      </c>
      <c r="K73" s="21">
        <f ca="1">IFERROR(IF(Inputs!$E$14="Quarterly",IF(YEAR(K3)&lt;2016,-AVERAGE('Annual Inc Statement Reported'!$F$27,'Annual Inc Statement Reported'!$G$27)*7,-SUM(OFFSET('Interim Inc Statement Reported'!K27,0,-3,,4))*7),IF(K3&lt;=DATE(2014,6,30),-AVERAGE('Annual Inc Statement Reported'!$E$27,'Annual Inc Statement Reported'!$F$27)*7,-SUM(OFFSET('Interim Inc Statement Reported'!K27,0,-1,,2))*7)),"")</f>
        <v>3430</v>
      </c>
      <c r="L73" s="21">
        <f ca="1">IFERROR(IF(Inputs!$E$14="Quarterly",IF(YEAR(L3)&lt;2016,-AVERAGE('Annual Inc Statement Reported'!$F$27,'Annual Inc Statement Reported'!$G$27)*7,-SUM(OFFSET('Interim Inc Statement Reported'!L27,0,-3,,4))*7),IF(L3&lt;=DATE(2014,6,30),-AVERAGE('Annual Inc Statement Reported'!$E$27,'Annual Inc Statement Reported'!$F$27)*7,-SUM(OFFSET('Interim Inc Statement Reported'!L27,0,-1,,2))*7)),"")</f>
        <v>3479</v>
      </c>
      <c r="M73" s="21">
        <f ca="1">IFERROR(IF(Inputs!$E$14="Quarterly",IF(YEAR(M3)&lt;2016,-AVERAGE('Annual Inc Statement Reported'!$F$27,'Annual Inc Statement Reported'!$G$27)*7,-SUM(OFFSET('Interim Inc Statement Reported'!M27,0,-3,,4))*7),IF(M3&lt;=DATE(2014,6,30),-AVERAGE('Annual Inc Statement Reported'!$E$27,'Annual Inc Statement Reported'!$F$27)*7,-SUM(OFFSET('Interim Inc Statement Reported'!M27,0,-1,,2))*7)),"")</f>
        <v>3521</v>
      </c>
      <c r="N73" s="21">
        <f ca="1">IFERROR(IF(Inputs!$E$14="Quarterly",IF(YEAR(N3)&lt;2016,-AVERAGE('Annual Inc Statement Reported'!$F$27,'Annual Inc Statement Reported'!$G$27)*7,-SUM(OFFSET('Interim Inc Statement Reported'!N27,0,-3,,4))*7),IF(N3&lt;=DATE(2014,6,30),-AVERAGE('Annual Inc Statement Reported'!$E$27,'Annual Inc Statement Reported'!$F$27)*7,-SUM(OFFSET('Interim Inc Statement Reported'!N27,0,-1,,2))*7)),"")</f>
        <v>3542</v>
      </c>
      <c r="O73" s="21">
        <f ca="1">IFERROR(IF(Inputs!$E$14="Quarterly",IF(YEAR(O3)&lt;2016,-AVERAGE('Annual Inc Statement Reported'!$F$27,'Annual Inc Statement Reported'!$G$27)*7,-SUM(OFFSET('Interim Inc Statement Reported'!O27,0,-3,,4))*7),IF(O3&lt;=DATE(2014,6,30),-AVERAGE('Annual Inc Statement Reported'!$E$27,'Annual Inc Statement Reported'!$F$27)*7,-SUM(OFFSET('Interim Inc Statement Reported'!O27,0,-1,,2))*7)),"")</f>
        <v>3493</v>
      </c>
      <c r="P73" s="21">
        <f ca="1">IFERROR(IF(Inputs!$E$14="Quarterly",IF(YEAR(P3)&lt;2016,-AVERAGE('Annual Inc Statement Reported'!$F$27,'Annual Inc Statement Reported'!$G$27)*7,-SUM(OFFSET('Interim Inc Statement Reported'!P27,0,-3,,4))*7),IF(P3&lt;=DATE(2014,6,30),-AVERAGE('Annual Inc Statement Reported'!$E$27,'Annual Inc Statement Reported'!$F$27)*7,-SUM(OFFSET('Interim Inc Statement Reported'!P27,0,-1,,2))*7)),"")</f>
        <v>3577</v>
      </c>
      <c r="Q73" s="21">
        <f ca="1">IFERROR(IF(Inputs!$E$14="Quarterly",IF(YEAR(Q3)&lt;2016,-AVERAGE('Annual Inc Statement Reported'!$F$27,'Annual Inc Statement Reported'!$G$27)*7,-SUM(OFFSET('Interim Inc Statement Reported'!Q27,0,-3,,4))*7),IF(Q3&lt;=DATE(2014,6,30),-AVERAGE('Annual Inc Statement Reported'!$E$27,'Annual Inc Statement Reported'!$F$27)*7,-SUM(OFFSET('Interim Inc Statement Reported'!Q27,0,-1,,2))*7)),"")</f>
        <v>3626</v>
      </c>
      <c r="R73" s="21"/>
      <c r="S73" s="21"/>
      <c r="T73" s="21"/>
      <c r="U73" s="21"/>
      <c r="V73" s="21"/>
      <c r="W73" s="21"/>
      <c r="X73" s="21"/>
      <c r="Y73" s="21"/>
      <c r="Z73" s="21"/>
      <c r="AA73" s="21"/>
      <c r="AB73" s="21"/>
    </row>
    <row r="74" spans="1:28" x14ac:dyDescent="0.3">
      <c r="A74" s="85" t="s">
        <v>127</v>
      </c>
      <c r="B74" s="21">
        <v>0</v>
      </c>
      <c r="C74" s="21">
        <v>0</v>
      </c>
      <c r="D74" s="21">
        <v>0</v>
      </c>
      <c r="E74" s="21">
        <v>0</v>
      </c>
      <c r="F74" s="21">
        <v>0</v>
      </c>
      <c r="G74" s="21">
        <v>0</v>
      </c>
      <c r="H74" s="21">
        <v>0</v>
      </c>
      <c r="I74" s="21">
        <v>0</v>
      </c>
      <c r="J74" s="21">
        <v>0</v>
      </c>
      <c r="K74" s="21">
        <v>0</v>
      </c>
      <c r="L74" s="21">
        <v>0</v>
      </c>
      <c r="M74" s="21">
        <v>0</v>
      </c>
      <c r="N74" s="21">
        <v>0</v>
      </c>
      <c r="O74" s="21">
        <v>0</v>
      </c>
      <c r="P74" s="21">
        <v>0</v>
      </c>
      <c r="Q74" s="21">
        <v>0</v>
      </c>
      <c r="R74" s="21">
        <v>0</v>
      </c>
      <c r="S74" s="21">
        <v>0</v>
      </c>
      <c r="T74" s="21">
        <v>0</v>
      </c>
      <c r="U74" s="21">
        <v>0</v>
      </c>
      <c r="V74" s="21">
        <v>0</v>
      </c>
      <c r="W74" s="21">
        <v>0</v>
      </c>
      <c r="X74" s="21">
        <v>0</v>
      </c>
      <c r="Y74" s="21">
        <v>0</v>
      </c>
      <c r="Z74" s="21">
        <v>0</v>
      </c>
      <c r="AA74" s="21">
        <v>0</v>
      </c>
      <c r="AB74" s="21">
        <v>0</v>
      </c>
    </row>
    <row r="75" spans="1:28" x14ac:dyDescent="0.3">
      <c r="A75" s="14" t="s">
        <v>128</v>
      </c>
      <c r="B75" s="22">
        <f ca="1">IFERROR(B72+B73,"")</f>
        <v>5288</v>
      </c>
      <c r="C75" s="22">
        <f t="shared" ref="C75:K75" ca="1" si="98">IFERROR(C72+C73,"")</f>
        <v>4931</v>
      </c>
      <c r="D75" s="22">
        <f t="shared" ca="1" si="98"/>
        <v>5353</v>
      </c>
      <c r="E75" s="22">
        <f t="shared" ca="1" si="98"/>
        <v>6053</v>
      </c>
      <c r="F75" s="22">
        <f t="shared" ca="1" si="98"/>
        <v>6182</v>
      </c>
      <c r="G75" s="22">
        <f t="shared" ca="1" si="98"/>
        <v>6679</v>
      </c>
      <c r="H75" s="22">
        <f t="shared" ca="1" si="98"/>
        <v>6623</v>
      </c>
      <c r="I75" s="22">
        <f t="shared" ca="1" si="98"/>
        <v>6873</v>
      </c>
      <c r="J75" s="22">
        <f t="shared" ca="1" si="98"/>
        <v>6464</v>
      </c>
      <c r="K75" s="22">
        <f t="shared" ca="1" si="98"/>
        <v>6141</v>
      </c>
      <c r="L75" s="22">
        <f t="shared" ref="L75:O75" ca="1" si="99">IFERROR(L72+L73,"")</f>
        <v>5673</v>
      </c>
      <c r="M75" s="22">
        <f t="shared" ca="1" si="99"/>
        <v>5836</v>
      </c>
      <c r="N75" s="22">
        <f t="shared" ca="1" si="99"/>
        <v>5783</v>
      </c>
      <c r="O75" s="22">
        <f t="shared" ca="1" si="99"/>
        <v>5831</v>
      </c>
      <c r="P75" s="22">
        <f t="shared" ref="P75:R75" ca="1" si="100">IFERROR(P72+P73,"")</f>
        <v>5333</v>
      </c>
      <c r="Q75" s="22">
        <f t="shared" ca="1" si="100"/>
        <v>8840</v>
      </c>
      <c r="R75" s="22">
        <f t="shared" si="100"/>
        <v>3820</v>
      </c>
      <c r="S75" s="22">
        <f t="shared" ref="S75:T75" si="101">IFERROR(S72+S73,"")</f>
        <v>3530</v>
      </c>
      <c r="T75" s="22">
        <f t="shared" si="101"/>
        <v>3491</v>
      </c>
      <c r="U75" s="22">
        <f t="shared" ref="U75:Y75" si="102">IFERROR(U72+U73,"")</f>
        <v>3353</v>
      </c>
      <c r="V75" s="22">
        <f t="shared" si="102"/>
        <v>4565</v>
      </c>
      <c r="W75" s="22">
        <f t="shared" si="102"/>
        <v>5040</v>
      </c>
      <c r="X75" s="22">
        <f t="shared" si="102"/>
        <v>5387</v>
      </c>
      <c r="Y75" s="22">
        <f t="shared" si="102"/>
        <v>5488</v>
      </c>
      <c r="Z75" s="22">
        <f t="shared" ref="Z75:AA75" si="103">IFERROR(Z72+Z73,"")</f>
        <v>6783</v>
      </c>
      <c r="AA75" s="22">
        <f t="shared" si="103"/>
        <v>7653</v>
      </c>
      <c r="AB75" s="22">
        <f t="shared" ref="AB75" si="104">IFERROR(AB72+AB73,"")</f>
        <v>7980</v>
      </c>
    </row>
    <row r="76" spans="1:28" x14ac:dyDescent="0.3">
      <c r="A76" s="85" t="s">
        <v>129</v>
      </c>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row>
    <row r="77" spans="1:28" x14ac:dyDescent="0.3">
      <c r="A77" s="85" t="s">
        <v>130</v>
      </c>
      <c r="B77" s="40"/>
      <c r="C77" s="40"/>
      <c r="D77" s="40"/>
      <c r="E77" s="40"/>
      <c r="F77" s="40"/>
      <c r="G77" s="40"/>
      <c r="H77" s="40"/>
      <c r="I77" s="40"/>
      <c r="J77" s="234"/>
      <c r="K77" s="234"/>
      <c r="L77" s="234"/>
      <c r="M77" s="234"/>
      <c r="N77" s="234"/>
      <c r="O77" s="234"/>
      <c r="P77" s="234"/>
      <c r="Q77" s="234"/>
      <c r="R77" s="234"/>
      <c r="S77" s="234"/>
      <c r="T77" s="234"/>
      <c r="U77" s="234"/>
      <c r="V77" s="234"/>
      <c r="W77" s="234"/>
      <c r="X77" s="234"/>
      <c r="Y77" s="234"/>
      <c r="Z77" s="234"/>
      <c r="AA77" s="234"/>
      <c r="AB77" s="234"/>
    </row>
    <row r="78" spans="1:28" x14ac:dyDescent="0.3">
      <c r="A78" s="85" t="s">
        <v>131</v>
      </c>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row>
    <row r="79" spans="1:28" x14ac:dyDescent="0.3">
      <c r="A79" s="85" t="s">
        <v>132</v>
      </c>
      <c r="B79" s="2">
        <f>IFERROR(B36/B70,"")</f>
        <v>9.5574306871017742E-2</v>
      </c>
      <c r="C79" s="2">
        <f t="shared" ref="C79:K79" si="105">IFERROR(C36/C70,"")</f>
        <v>9.393346379647749E-2</v>
      </c>
      <c r="D79" s="2">
        <f t="shared" si="105"/>
        <v>9.1560768980123816E-2</v>
      </c>
      <c r="E79" s="2">
        <f t="shared" si="105"/>
        <v>8.1951829840475443E-2</v>
      </c>
      <c r="F79" s="2">
        <f t="shared" si="105"/>
        <v>7.0874689826302725E-2</v>
      </c>
      <c r="G79" s="2">
        <f t="shared" si="105"/>
        <v>7.899280575539569E-2</v>
      </c>
      <c r="H79" s="2">
        <f t="shared" si="105"/>
        <v>8.9866704887487464E-2</v>
      </c>
      <c r="I79" s="2">
        <f t="shared" si="105"/>
        <v>0.10682985796313085</v>
      </c>
      <c r="J79" s="2">
        <f t="shared" si="105"/>
        <v>0.12160966981132075</v>
      </c>
      <c r="K79" s="2">
        <f t="shared" si="105"/>
        <v>0.12875092387287509</v>
      </c>
      <c r="L79" s="2">
        <f t="shared" ref="L79:O79" si="106">IFERROR(L36/L70,"")</f>
        <v>0.12150418707536735</v>
      </c>
      <c r="M79" s="2">
        <f t="shared" si="106"/>
        <v>0.10965844092171924</v>
      </c>
      <c r="N79" s="2">
        <f t="shared" si="106"/>
        <v>9.2029093068131215E-2</v>
      </c>
      <c r="O79" s="2">
        <f t="shared" si="106"/>
        <v>6.2928082191780824E-2</v>
      </c>
      <c r="P79" s="2">
        <f t="shared" ref="P79:R79" si="107">IFERROR(P36/P70,"")</f>
        <v>6.4690026954177901E-2</v>
      </c>
      <c r="Q79" s="2">
        <f t="shared" si="107"/>
        <v>6.450962604576152E-2</v>
      </c>
      <c r="R79" s="2">
        <f t="shared" si="107"/>
        <v>0.13221947194719472</v>
      </c>
      <c r="S79" s="2">
        <f t="shared" ref="S79:U79" si="108">IFERROR(S36/S70,"")</f>
        <v>0.1321553274785737</v>
      </c>
      <c r="T79" s="2">
        <f t="shared" si="108"/>
        <v>0.13290598290598291</v>
      </c>
      <c r="U79" s="2">
        <f t="shared" si="108"/>
        <v>6.8275265094135465E-2</v>
      </c>
      <c r="V79" s="2">
        <f t="shared" ref="V79:Y79" si="109">IFERROR(V36/V70,"")</f>
        <v>9.7540447021415885E-2</v>
      </c>
      <c r="W79" s="2">
        <f t="shared" si="109"/>
        <v>0.23648056123940367</v>
      </c>
      <c r="X79" s="2">
        <f t="shared" si="109"/>
        <v>0.15202856708706883</v>
      </c>
      <c r="Y79" s="2">
        <f t="shared" si="109"/>
        <v>4.1881592116406192E-2</v>
      </c>
      <c r="Z79" s="2">
        <f t="shared" ref="Z79:AA79" si="110">IFERROR(Z36/Z70,"")</f>
        <v>8.4927854454203255E-2</v>
      </c>
      <c r="AA79" s="2">
        <f t="shared" si="110"/>
        <v>3.8286521261572261E-2</v>
      </c>
      <c r="AB79" s="2">
        <f t="shared" ref="AB79" si="111">IFERROR(AB36/AB70,"")</f>
        <v>2.9792590816448868E-2</v>
      </c>
    </row>
    <row r="80" spans="1:28" x14ac:dyDescent="0.3">
      <c r="A80" s="8" t="s">
        <v>133</v>
      </c>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3">
      <c r="A81" s="85" t="s">
        <v>134</v>
      </c>
      <c r="B81" s="21">
        <f>B25+B26</f>
        <v>2850</v>
      </c>
      <c r="C81" s="21">
        <f t="shared" ref="C81:I81" si="112">C25+C26</f>
        <v>3021</v>
      </c>
      <c r="D81" s="21">
        <f t="shared" si="112"/>
        <v>3116</v>
      </c>
      <c r="E81" s="21">
        <f t="shared" si="112"/>
        <v>2672</v>
      </c>
      <c r="F81" s="21">
        <f t="shared" si="112"/>
        <v>2947</v>
      </c>
      <c r="G81" s="21">
        <f t="shared" si="112"/>
        <v>3148</v>
      </c>
      <c r="H81" s="21">
        <f t="shared" si="112"/>
        <v>3434</v>
      </c>
      <c r="I81" s="21">
        <f t="shared" si="112"/>
        <v>2979</v>
      </c>
      <c r="J81" s="21">
        <f>J25+J26</f>
        <v>3624</v>
      </c>
      <c r="K81" s="21">
        <f>K25+K26</f>
        <v>4054</v>
      </c>
      <c r="L81" s="21">
        <f t="shared" ref="L81:O81" si="113">L25+L26</f>
        <v>4135</v>
      </c>
      <c r="M81" s="21">
        <f t="shared" si="113"/>
        <v>3804</v>
      </c>
      <c r="N81" s="21">
        <f t="shared" si="113"/>
        <v>4496</v>
      </c>
      <c r="O81" s="21">
        <f t="shared" si="113"/>
        <v>4670</v>
      </c>
      <c r="P81" s="21">
        <f t="shared" ref="P81:R81" si="114">P25+P26</f>
        <v>4922</v>
      </c>
      <c r="Q81" s="21">
        <f t="shared" si="114"/>
        <v>4707</v>
      </c>
      <c r="R81" s="21">
        <f t="shared" si="114"/>
        <v>5876</v>
      </c>
      <c r="S81" s="21">
        <f t="shared" ref="S81:T81" si="115">S25+S26</f>
        <v>5921</v>
      </c>
      <c r="T81" s="21">
        <f t="shared" si="115"/>
        <v>5869</v>
      </c>
      <c r="U81" s="21">
        <f t="shared" ref="U81:Y81" si="116">U25+U26</f>
        <v>5889</v>
      </c>
      <c r="V81" s="21">
        <f t="shared" si="116"/>
        <v>6128</v>
      </c>
      <c r="W81" s="21">
        <f t="shared" si="116"/>
        <v>8644</v>
      </c>
      <c r="X81" s="21">
        <f t="shared" si="116"/>
        <v>7775</v>
      </c>
      <c r="Y81" s="21">
        <f t="shared" si="116"/>
        <v>7501</v>
      </c>
      <c r="Z81" s="21">
        <f t="shared" ref="Z81:AA81" si="117">Z25+Z26</f>
        <v>5969</v>
      </c>
      <c r="AA81" s="21">
        <f t="shared" si="117"/>
        <v>5093</v>
      </c>
      <c r="AB81" s="21">
        <f t="shared" ref="AB81" si="118">AB25+AB26</f>
        <v>8702</v>
      </c>
    </row>
    <row r="82" spans="1:28" x14ac:dyDescent="0.3">
      <c r="A82" s="85" t="s">
        <v>135</v>
      </c>
      <c r="B82" s="21">
        <f>B35+B36</f>
        <v>555</v>
      </c>
      <c r="C82" s="21">
        <f t="shared" ref="C82:I82" si="119">C35+C36</f>
        <v>528</v>
      </c>
      <c r="D82" s="21">
        <f t="shared" si="119"/>
        <v>562</v>
      </c>
      <c r="E82" s="21">
        <f t="shared" si="119"/>
        <v>524</v>
      </c>
      <c r="F82" s="21">
        <f t="shared" si="119"/>
        <v>457</v>
      </c>
      <c r="G82" s="21">
        <f t="shared" si="119"/>
        <v>549</v>
      </c>
      <c r="H82" s="21">
        <f t="shared" si="119"/>
        <v>627</v>
      </c>
      <c r="I82" s="21">
        <f t="shared" si="119"/>
        <v>707</v>
      </c>
      <c r="J82" s="21">
        <f>J35+J36</f>
        <v>825</v>
      </c>
      <c r="K82" s="21">
        <f>K35+K36</f>
        <v>871</v>
      </c>
      <c r="L82" s="21">
        <f t="shared" ref="L82:O82" si="120">L35+L36</f>
        <v>769</v>
      </c>
      <c r="M82" s="21">
        <f t="shared" si="120"/>
        <v>671</v>
      </c>
      <c r="N82" s="21">
        <f t="shared" si="120"/>
        <v>620</v>
      </c>
      <c r="O82" s="21">
        <f t="shared" si="120"/>
        <v>441</v>
      </c>
      <c r="P82" s="21">
        <f t="shared" ref="P82:R82" si="121">P35+P36</f>
        <v>432</v>
      </c>
      <c r="Q82" s="21">
        <f t="shared" si="121"/>
        <v>1048</v>
      </c>
      <c r="R82" s="21">
        <f t="shared" si="121"/>
        <v>1282</v>
      </c>
      <c r="S82" s="21">
        <f t="shared" ref="S82:T82" si="122">S35+S36</f>
        <v>1249</v>
      </c>
      <c r="T82" s="21">
        <f t="shared" si="122"/>
        <v>1244</v>
      </c>
      <c r="U82" s="21">
        <f t="shared" ref="U82:Y82" si="123">U35+U36</f>
        <v>1218</v>
      </c>
      <c r="V82" s="21">
        <f t="shared" si="123"/>
        <v>1043</v>
      </c>
      <c r="W82" s="21">
        <f t="shared" si="123"/>
        <v>3236</v>
      </c>
      <c r="X82" s="21">
        <f t="shared" si="123"/>
        <v>2001</v>
      </c>
      <c r="Y82" s="21">
        <f t="shared" si="123"/>
        <v>1788</v>
      </c>
      <c r="Z82" s="21">
        <f t="shared" ref="Z82:AA82" si="124">Z35+Z36</f>
        <v>1630</v>
      </c>
      <c r="AA82" s="21">
        <f t="shared" si="124"/>
        <v>1012</v>
      </c>
      <c r="AB82" s="21">
        <f t="shared" ref="AB82" si="125">AB35+AB36</f>
        <v>1015</v>
      </c>
    </row>
    <row r="83" spans="1:28" x14ac:dyDescent="0.3">
      <c r="A83" s="85" t="s">
        <v>136</v>
      </c>
      <c r="B83" s="21">
        <f>B29</f>
        <v>0</v>
      </c>
      <c r="C83" s="21">
        <f t="shared" ref="C83:I83" si="126">C29</f>
        <v>0</v>
      </c>
      <c r="D83" s="21">
        <f t="shared" si="126"/>
        <v>0</v>
      </c>
      <c r="E83" s="21">
        <f t="shared" si="126"/>
        <v>0</v>
      </c>
      <c r="F83" s="21">
        <f t="shared" si="126"/>
        <v>0</v>
      </c>
      <c r="G83" s="21">
        <f t="shared" si="126"/>
        <v>0</v>
      </c>
      <c r="H83" s="21">
        <f t="shared" si="126"/>
        <v>0</v>
      </c>
      <c r="I83" s="21">
        <f t="shared" si="126"/>
        <v>0</v>
      </c>
      <c r="J83" s="21">
        <f>J29</f>
        <v>0</v>
      </c>
      <c r="K83" s="21">
        <f>K29</f>
        <v>0</v>
      </c>
      <c r="L83" s="21">
        <f t="shared" ref="L83:O83" si="127">L29</f>
        <v>0</v>
      </c>
      <c r="M83" s="21">
        <f t="shared" si="127"/>
        <v>0</v>
      </c>
      <c r="N83" s="21">
        <f t="shared" si="127"/>
        <v>0</v>
      </c>
      <c r="O83" s="21">
        <f t="shared" si="127"/>
        <v>0</v>
      </c>
      <c r="P83" s="21">
        <f t="shared" ref="P83:R83" si="128">P29</f>
        <v>0</v>
      </c>
      <c r="Q83" s="21">
        <f t="shared" si="128"/>
        <v>0</v>
      </c>
      <c r="R83" s="21">
        <f t="shared" si="128"/>
        <v>0</v>
      </c>
      <c r="S83" s="21">
        <f t="shared" ref="S83:T83" si="129">S29</f>
        <v>0</v>
      </c>
      <c r="T83" s="21">
        <f t="shared" si="129"/>
        <v>0</v>
      </c>
      <c r="U83" s="21">
        <f t="shared" ref="U83:Y83" si="130">U29</f>
        <v>0</v>
      </c>
      <c r="V83" s="21">
        <f t="shared" si="130"/>
        <v>0</v>
      </c>
      <c r="W83" s="21">
        <f t="shared" si="130"/>
        <v>0</v>
      </c>
      <c r="X83" s="21">
        <f t="shared" si="130"/>
        <v>0</v>
      </c>
      <c r="Y83" s="21">
        <f t="shared" si="130"/>
        <v>0</v>
      </c>
      <c r="Z83" s="21">
        <f t="shared" ref="Z83:AA83" si="131">Z29</f>
        <v>0</v>
      </c>
      <c r="AA83" s="21">
        <f t="shared" si="131"/>
        <v>0</v>
      </c>
      <c r="AB83" s="21">
        <f t="shared" ref="AB83" si="132">AB29</f>
        <v>0</v>
      </c>
    </row>
    <row r="84" spans="1:28" x14ac:dyDescent="0.3">
      <c r="A84" s="85" t="s">
        <v>137</v>
      </c>
      <c r="B84" s="21">
        <f>B37</f>
        <v>0</v>
      </c>
      <c r="C84" s="21">
        <f t="shared" ref="C84:I84" si="133">C37</f>
        <v>0</v>
      </c>
      <c r="D84" s="21">
        <f t="shared" si="133"/>
        <v>0</v>
      </c>
      <c r="E84" s="21">
        <f t="shared" si="133"/>
        <v>0</v>
      </c>
      <c r="F84" s="21">
        <f t="shared" si="133"/>
        <v>0</v>
      </c>
      <c r="G84" s="21">
        <f t="shared" si="133"/>
        <v>0</v>
      </c>
      <c r="H84" s="21">
        <f t="shared" si="133"/>
        <v>0</v>
      </c>
      <c r="I84" s="21">
        <f t="shared" si="133"/>
        <v>0</v>
      </c>
      <c r="J84" s="21">
        <f>J37</f>
        <v>0</v>
      </c>
      <c r="K84" s="21">
        <f>K37</f>
        <v>0</v>
      </c>
      <c r="L84" s="21">
        <f t="shared" ref="L84:O84" si="134">L37</f>
        <v>0</v>
      </c>
      <c r="M84" s="21">
        <f t="shared" si="134"/>
        <v>0</v>
      </c>
      <c r="N84" s="21">
        <f t="shared" si="134"/>
        <v>0</v>
      </c>
      <c r="O84" s="21">
        <f t="shared" si="134"/>
        <v>0</v>
      </c>
      <c r="P84" s="21">
        <f t="shared" ref="P84:R84" si="135">P37</f>
        <v>0</v>
      </c>
      <c r="Q84" s="21">
        <f t="shared" si="135"/>
        <v>0</v>
      </c>
      <c r="R84" s="21">
        <f t="shared" si="135"/>
        <v>0</v>
      </c>
      <c r="S84" s="21">
        <f t="shared" ref="S84:T84" si="136">S37</f>
        <v>0</v>
      </c>
      <c r="T84" s="21">
        <f t="shared" si="136"/>
        <v>0</v>
      </c>
      <c r="U84" s="21">
        <f t="shared" ref="U84:Y84" si="137">U37</f>
        <v>0</v>
      </c>
      <c r="V84" s="21">
        <f t="shared" si="137"/>
        <v>0</v>
      </c>
      <c r="W84" s="21">
        <f t="shared" si="137"/>
        <v>0</v>
      </c>
      <c r="X84" s="21">
        <f t="shared" si="137"/>
        <v>0</v>
      </c>
      <c r="Y84" s="21">
        <f t="shared" si="137"/>
        <v>0</v>
      </c>
      <c r="Z84" s="21">
        <f t="shared" ref="Z84:AA84" si="138">Z37</f>
        <v>0</v>
      </c>
      <c r="AA84" s="21">
        <f t="shared" si="138"/>
        <v>0</v>
      </c>
      <c r="AB84" s="21">
        <f t="shared" ref="AB84" si="139">AB37</f>
        <v>0</v>
      </c>
    </row>
    <row r="85" spans="1:28" x14ac:dyDescent="0.3">
      <c r="A85" s="85" t="s">
        <v>138</v>
      </c>
      <c r="B85" s="21">
        <f>B81-B82+B83-B84</f>
        <v>2295</v>
      </c>
      <c r="C85" s="21">
        <f t="shared" ref="C85:I85" si="140">C81-C82+C83-C84</f>
        <v>2493</v>
      </c>
      <c r="D85" s="21">
        <f t="shared" si="140"/>
        <v>2554</v>
      </c>
      <c r="E85" s="21">
        <f t="shared" si="140"/>
        <v>2148</v>
      </c>
      <c r="F85" s="21">
        <f t="shared" si="140"/>
        <v>2490</v>
      </c>
      <c r="G85" s="21">
        <f t="shared" si="140"/>
        <v>2599</v>
      </c>
      <c r="H85" s="21">
        <f t="shared" si="140"/>
        <v>2807</v>
      </c>
      <c r="I85" s="21">
        <f t="shared" si="140"/>
        <v>2272</v>
      </c>
      <c r="J85" s="21">
        <f>J81-J82+J83-J84</f>
        <v>2799</v>
      </c>
      <c r="K85" s="21">
        <f>K81-K82+K83-K84</f>
        <v>3183</v>
      </c>
      <c r="L85" s="21">
        <f t="shared" ref="L85:O85" si="141">L81-L82+L83-L84</f>
        <v>3366</v>
      </c>
      <c r="M85" s="21">
        <f t="shared" si="141"/>
        <v>3133</v>
      </c>
      <c r="N85" s="21">
        <f t="shared" si="141"/>
        <v>3876</v>
      </c>
      <c r="O85" s="21">
        <f t="shared" si="141"/>
        <v>4229</v>
      </c>
      <c r="P85" s="21">
        <f t="shared" ref="P85:R85" si="142">P81-P82+P83-P84</f>
        <v>4490</v>
      </c>
      <c r="Q85" s="21">
        <f t="shared" si="142"/>
        <v>3659</v>
      </c>
      <c r="R85" s="21">
        <f t="shared" si="142"/>
        <v>4594</v>
      </c>
      <c r="S85" s="21">
        <f t="shared" ref="S85:T85" si="143">S81-S82+S83-S84</f>
        <v>4672</v>
      </c>
      <c r="T85" s="21">
        <f t="shared" si="143"/>
        <v>4625</v>
      </c>
      <c r="U85" s="21">
        <f t="shared" ref="U85:Y85" si="144">U81-U82+U83-U84</f>
        <v>4671</v>
      </c>
      <c r="V85" s="21">
        <f t="shared" si="144"/>
        <v>5085</v>
      </c>
      <c r="W85" s="21">
        <f t="shared" si="144"/>
        <v>5408</v>
      </c>
      <c r="X85" s="21">
        <f t="shared" si="144"/>
        <v>5774</v>
      </c>
      <c r="Y85" s="21">
        <f t="shared" si="144"/>
        <v>5713</v>
      </c>
      <c r="Z85" s="21">
        <f t="shared" ref="Z85:AA85" si="145">Z81-Z82+Z83-Z84</f>
        <v>4339</v>
      </c>
      <c r="AA85" s="21">
        <f t="shared" si="145"/>
        <v>4081</v>
      </c>
      <c r="AB85" s="21">
        <f t="shared" ref="AB85" si="146">AB81-AB82+AB83-AB84</f>
        <v>7687</v>
      </c>
    </row>
    <row r="86" spans="1:28" s="11" customFormat="1" x14ac:dyDescent="0.3">
      <c r="A86" s="14" t="s">
        <v>139</v>
      </c>
      <c r="B86" s="78">
        <f ca="1">IFERROR(IF(Inputs!$E$14="Quarterly",IF(YEAR(B3)=Inputs!$E$17,(B25+B26)/AVERAGE('Annual Inc Statement Reported'!$F$13,'Annual Inc Statement Reported'!$G$13),(B25+B26)/SUM(OFFSET('Interim Inc Statement Reported'!B13,0,-3,,4))),IF(B3&lt;=DATE(Inputs!$E$17,Inputs!$E$15,Inputs!$E$16),(B25+B26)/AVERAGE('Annual Inc Statement Reported'!$E$13,'Annual Inc Statement Reported'!$F$13),(B25+B26)/SUM(OFFSET('Interim Inc Statement Reported'!B13,0,-1,,2)))),"")</f>
        <v>0.21002210759027265</v>
      </c>
      <c r="C86" s="78">
        <f ca="1">IFERROR(IF(Inputs!$E$14="Quarterly",IF(YEAR(C3)=Inputs!$E$17,(C25+C26)/AVERAGE('Annual Inc Statement Reported'!$F$13,'Annual Inc Statement Reported'!$G$13),(C25+C26)/SUM(OFFSET('Interim Inc Statement Reported'!C13,0,-3,,4))),IF(C3&lt;=DATE(Inputs!$E$17,Inputs!$E$15,Inputs!$E$16),(C25+C26)/AVERAGE('Annual Inc Statement Reported'!$E$13,'Annual Inc Statement Reported'!$F$13),(C25+C26)/SUM(OFFSET('Interim Inc Statement Reported'!C13,0,-1,,2)))),"")</f>
        <v>0.22262343404568902</v>
      </c>
      <c r="D86" s="78">
        <f ca="1">IFERROR(IF(Inputs!$E$14="Quarterly",IF(YEAR(D3)=Inputs!$E$17,(D25+D26)/AVERAGE('Annual Inc Statement Reported'!$F$13,'Annual Inc Statement Reported'!$G$13),(D25+D26)/SUM(OFFSET('Interim Inc Statement Reported'!D13,0,-3,,4))),IF(D3&lt;=DATE(Inputs!$E$17,Inputs!$E$15,Inputs!$E$16),(D25+D26)/AVERAGE('Annual Inc Statement Reported'!$E$13,'Annual Inc Statement Reported'!$F$13),(D25+D26)/SUM(OFFSET('Interim Inc Statement Reported'!D13,0,-1,,2)))),"")</f>
        <v>0.22962417096536478</v>
      </c>
      <c r="E86" s="78">
        <f ca="1">IFERROR(IF(Inputs!$E$14="Quarterly",IF(YEAR(E3)=Inputs!$E$17,(E25+E26)/AVERAGE('Annual Inc Statement Reported'!$F$13,'Annual Inc Statement Reported'!$G$13),(E25+E26)/SUM(OFFSET('Interim Inc Statement Reported'!E13,0,-3,,4))),IF(E3&lt;=DATE(Inputs!$E$17,Inputs!$E$15,Inputs!$E$16),(E25+E26)/AVERAGE('Annual Inc Statement Reported'!$E$13,'Annual Inc Statement Reported'!$F$13),(E25+E26)/SUM(OFFSET('Interim Inc Statement Reported'!E13,0,-1,,2)))),"")</f>
        <v>0.19690493736182757</v>
      </c>
      <c r="F86" s="78">
        <f ca="1">IFERROR(IF(Inputs!$E$14="Quarterly",IF(YEAR(F3)=Inputs!$E$17,(F25+F26)/AVERAGE('Annual Inc Statement Reported'!$F$13,'Annual Inc Statement Reported'!$G$13),(F25+F26)/SUM(OFFSET('Interim Inc Statement Reported'!F13,0,-3,,4))),IF(F3&lt;=DATE(Inputs!$E$17,Inputs!$E$15,Inputs!$E$16),(F25+F26)/AVERAGE('Annual Inc Statement Reported'!$E$13,'Annual Inc Statement Reported'!$F$13),(F25+F26)/SUM(OFFSET('Interim Inc Statement Reported'!F13,0,-1,,2)))),"")</f>
        <v>0.21107291219023064</v>
      </c>
      <c r="G86" s="78">
        <f ca="1">IFERROR(IF(Inputs!$E$14="Quarterly",IF(YEAR(G3)=Inputs!$E$17,(G25+G26)/AVERAGE('Annual Inc Statement Reported'!$F$13,'Annual Inc Statement Reported'!$G$13),(G25+G26)/SUM(OFFSET('Interim Inc Statement Reported'!G13,0,-3,,4))),IF(G3&lt;=DATE(Inputs!$E$17,Inputs!$E$15,Inputs!$E$16),(G25+G26)/AVERAGE('Annual Inc Statement Reported'!$E$13,'Annual Inc Statement Reported'!$F$13),(G25+G26)/SUM(OFFSET('Interim Inc Statement Reported'!G13,0,-1,,2)))),"")</f>
        <v>0.22476081679280308</v>
      </c>
      <c r="H86" s="78">
        <f ca="1">IFERROR(IF(Inputs!$E$14="Quarterly",IF(YEAR(H3)=Inputs!$E$17,(H25+H26)/AVERAGE('Annual Inc Statement Reported'!$F$13,'Annual Inc Statement Reported'!$G$13),(H25+H26)/SUM(OFFSET('Interim Inc Statement Reported'!H13,0,-3,,4))),IF(H3&lt;=DATE(Inputs!$E$17,Inputs!$E$15,Inputs!$E$16),(H25+H26)/AVERAGE('Annual Inc Statement Reported'!$E$13,'Annual Inc Statement Reported'!$F$13),(H25+H26)/SUM(OFFSET('Interim Inc Statement Reported'!H13,0,-1,,2)))),"")</f>
        <v>0.23791048912290425</v>
      </c>
      <c r="I86" s="78">
        <f ca="1">IFERROR(IF(Inputs!$E$14="Quarterly",IF(YEAR(I3)=Inputs!$E$17,(I25+I26)/AVERAGE('Annual Inc Statement Reported'!$F$13,'Annual Inc Statement Reported'!$G$13),(I25+I26)/SUM(OFFSET('Interim Inc Statement Reported'!I13,0,-3,,4))),IF(I3&lt;=DATE(Inputs!$E$17,Inputs!$E$15,Inputs!$E$16),(I25+I26)/AVERAGE('Annual Inc Statement Reported'!$E$13,'Annual Inc Statement Reported'!$F$13),(I25+I26)/SUM(OFFSET('Interim Inc Statement Reported'!I13,0,-1,,2)))),"")</f>
        <v>0.20297063432581591</v>
      </c>
      <c r="J86" s="78">
        <f ca="1">IFERROR(IF(Inputs!$E$14="Quarterly",IF(YEAR(J3)=Inputs!$E$17,(J25+J26)/AVERAGE('Annual Inc Statement Reported'!$F$13,'Annual Inc Statement Reported'!$G$13),(J25+J26)/SUM(OFFSET('Interim Inc Statement Reported'!J13,0,-3,,4))),IF(J3&lt;=DATE(Inputs!$E$17,Inputs!$E$15,Inputs!$E$16),(J25+J26)/AVERAGE('Annual Inc Statement Reported'!$E$13,'Annual Inc Statement Reported'!$F$13),(J25+J26)/SUM(OFFSET('Interim Inc Statement Reported'!J13,0,-1,,2)))),"")</f>
        <v>0.24198717948717949</v>
      </c>
      <c r="K86" s="78">
        <f ca="1">IFERROR(IF(Inputs!$E$14="Quarterly",IF(YEAR(K3)=Inputs!$E$17,(K25+K26)/AVERAGE('Annual Inc Statement Reported'!$F$13,'Annual Inc Statement Reported'!$G$13),(K25+K26)/SUM(OFFSET('Interim Inc Statement Reported'!K13,0,-3,,4))),IF(K3&lt;=DATE(Inputs!$E$17,Inputs!$E$15,Inputs!$E$16),(K25+K26)/AVERAGE('Annual Inc Statement Reported'!$E$13,'Annual Inc Statement Reported'!$F$13),(K25+K26)/SUM(OFFSET('Interim Inc Statement Reported'!K13,0,-1,,2)))),"")</f>
        <v>0.26276899144412758</v>
      </c>
      <c r="L86" s="78">
        <f ca="1">IFERROR(IF(Inputs!$E$14="Quarterly",IF(YEAR(L3)=Inputs!$E$17,(L25+L26)/AVERAGE('Annual Inc Statement Reported'!$F$13,'Annual Inc Statement Reported'!$G$13),(L25+L26)/SUM(OFFSET('Interim Inc Statement Reported'!L13,0,-3,,4))),IF(L3&lt;=DATE(Inputs!$E$17,Inputs!$E$15,Inputs!$E$16),(L25+L26)/AVERAGE('Annual Inc Statement Reported'!$E$13,'Annual Inc Statement Reported'!$F$13),(L25+L26)/SUM(OFFSET('Interim Inc Statement Reported'!L13,0,-1,,2)))),"")</f>
        <v>0.2607681150280633</v>
      </c>
      <c r="M86" s="78">
        <f ca="1">IFERROR(IF(Inputs!$E$14="Quarterly",IF(YEAR(M3)=Inputs!$E$17,(M25+M26)/AVERAGE('Annual Inc Statement Reported'!$F$13,'Annual Inc Statement Reported'!$G$13),(M25+M26)/SUM(OFFSET('Interim Inc Statement Reported'!M13,0,-3,,4))),IF(M3&lt;=DATE(Inputs!$E$17,Inputs!$E$15,Inputs!$E$16),(M25+M26)/AVERAGE('Annual Inc Statement Reported'!$E$13,'Annual Inc Statement Reported'!$F$13),(M25+M26)/SUM(OFFSET('Interim Inc Statement Reported'!M13,0,-1,,2)))),"")</f>
        <v>0.23406349987693822</v>
      </c>
      <c r="N86" s="78">
        <f ca="1">IFERROR(IF(Inputs!$E$14="Quarterly",IF(YEAR(N3)=Inputs!$E$17,(N25+N26)/AVERAGE('Annual Inc Statement Reported'!$F$13,'Annual Inc Statement Reported'!$G$13),(N25+N26)/SUM(OFFSET('Interim Inc Statement Reported'!N13,0,-3,,4))),IF(N3&lt;=DATE(Inputs!$E$17,Inputs!$E$15,Inputs!$E$16),(N25+N26)/AVERAGE('Annual Inc Statement Reported'!$E$13,'Annual Inc Statement Reported'!$F$13),(N25+N26)/SUM(OFFSET('Interim Inc Statement Reported'!N13,0,-1,,2)))),"")</f>
        <v>0.26952820574306097</v>
      </c>
      <c r="O86" s="78">
        <f ca="1">IFERROR(IF(Inputs!$E$14="Quarterly",IF(YEAR(O3)=Inputs!$E$17,(O25+O26)/AVERAGE('Annual Inc Statement Reported'!$F$13,'Annual Inc Statement Reported'!$G$13),(O25+O26)/SUM(OFFSET('Interim Inc Statement Reported'!O13,0,-3,,4))),IF(O3&lt;=DATE(Inputs!$E$17,Inputs!$E$15,Inputs!$E$16),(O25+O26)/AVERAGE('Annual Inc Statement Reported'!$E$13,'Annual Inc Statement Reported'!$F$13),(O25+O26)/SUM(OFFSET('Interim Inc Statement Reported'!O13,0,-1,,2)))),"")</f>
        <v>0.27303554724041162</v>
      </c>
      <c r="P86" s="78">
        <f ca="1">IFERROR(IF(Inputs!$E$14="Quarterly",IF(YEAR(P3)=Inputs!$E$17,(P25+P26)/AVERAGE('Annual Inc Statement Reported'!$F$13,'Annual Inc Statement Reported'!$G$13),(P25+P26)/SUM(OFFSET('Interim Inc Statement Reported'!P13,0,-3,,4))),IF(P3&lt;=DATE(Inputs!$E$17,Inputs!$E$15,Inputs!$E$16),(P25+P26)/AVERAGE('Annual Inc Statement Reported'!$E$13,'Annual Inc Statement Reported'!$F$13),(P25+P26)/SUM(OFFSET('Interim Inc Statement Reported'!P13,0,-1,,2)))),"")</f>
        <v>0.27904076194795624</v>
      </c>
      <c r="Q86" s="78">
        <f ca="1">IFERROR(IF(Inputs!$E$14="Quarterly",IF(YEAR(Q3)=Inputs!$E$17,(Q25+Q26)/AVERAGE('Annual Inc Statement Reported'!$F$13,'Annual Inc Statement Reported'!$G$13),(Q25+Q26)/SUM(OFFSET('Interim Inc Statement Reported'!Q13,0,-3,,4))),IF(Q3&lt;=DATE(Inputs!$E$17,Inputs!$E$15,Inputs!$E$16),(Q25+Q26)/AVERAGE('Annual Inc Statement Reported'!$E$13,'Annual Inc Statement Reported'!$F$13),(Q25+Q26)/SUM(OFFSET('Interim Inc Statement Reported'!Q13,0,-1,,2)))),"")</f>
        <v>0.2605590921671741</v>
      </c>
      <c r="R86" s="78">
        <f ca="1">IFERROR(IF(Inputs!$E$14="Quarterly",IF(YEAR(R3)=Inputs!$E$17,(R25+R26)/AVERAGE('Annual Inc Statement Reported'!$F$13,'Annual Inc Statement Reported'!$G$13),(R25+R26)/SUM(OFFSET('Interim Inc Statement Reported'!R13,0,-3,,4))),IF(R3&lt;=DATE(Inputs!$E$17,Inputs!$E$15,Inputs!$E$16),(R25+R26)/AVERAGE('Annual Inc Statement Reported'!$E$13,'Annual Inc Statement Reported'!$F$13),(R25+R26)/SUM(OFFSET('Interim Inc Statement Reported'!R13,0,-1,,2)))),"")</f>
        <v>0.31853417899929526</v>
      </c>
      <c r="S86" s="78">
        <f ca="1">IFERROR(IF(Inputs!$E$14="Quarterly",IF(YEAR(S3)=Inputs!$E$17,(S25+S26)/AVERAGE('Annual Inc Statement Reported'!$F$13,'Annual Inc Statement Reported'!$G$13),(S25+S26)/SUM(OFFSET('Interim Inc Statement Reported'!S13,0,-3,,4))),IF(S3&lt;=DATE(Inputs!$E$17,Inputs!$E$15,Inputs!$E$16),(S25+S26)/AVERAGE('Annual Inc Statement Reported'!$E$13,'Annual Inc Statement Reported'!$F$13),(S25+S26)/SUM(OFFSET('Interim Inc Statement Reported'!S13,0,-1,,2)))),"")</f>
        <v>0.31376185681733876</v>
      </c>
      <c r="T86" s="78">
        <f ca="1">IFERROR(IF(Inputs!$E$14="Quarterly",IF(YEAR(T3)=Inputs!$E$17,(T25+T26)/AVERAGE('Annual Inc Statement Reported'!$F$13,'Annual Inc Statement Reported'!$G$13),(T25+T26)/SUM(OFFSET('Interim Inc Statement Reported'!T13,0,-3,,4))),IF(T3&lt;=DATE(Inputs!$E$17,Inputs!$E$15,Inputs!$E$16),(T25+T26)/AVERAGE('Annual Inc Statement Reported'!$E$13,'Annual Inc Statement Reported'!$F$13),(T25+T26)/SUM(OFFSET('Interim Inc Statement Reported'!T13,0,-1,,2)))),"")</f>
        <v>0.30874848755852491</v>
      </c>
      <c r="U86" s="78">
        <f ca="1">IFERROR(IF(Inputs!$E$14="Quarterly",IF(YEAR(U3)=Inputs!$E$17,(U25+U26)/AVERAGE('Annual Inc Statement Reported'!$F$13,'Annual Inc Statement Reported'!$G$13),(U25+U26)/SUM(OFFSET('Interim Inc Statement Reported'!U13,0,-3,,4))),IF(U3&lt;=DATE(Inputs!$E$17,Inputs!$E$15,Inputs!$E$16),(U25+U26)/AVERAGE('Annual Inc Statement Reported'!$E$13,'Annual Inc Statement Reported'!$F$13),(U25+U26)/SUM(OFFSET('Interim Inc Statement Reported'!U13,0,-1,,2)))),"")</f>
        <v>0.30782499607966129</v>
      </c>
      <c r="V86" s="78">
        <f ca="1">IFERROR(IF(Inputs!$E$14="Quarterly",IF(YEAR(V3)=Inputs!$E$17,(V25+V26)/AVERAGE('Annual Inc Statement Reported'!$F$13,'Annual Inc Statement Reported'!$G$13),(V25+V26)/SUM(OFFSET('Interim Inc Statement Reported'!V13,0,-3,,4))),IF(V3&lt;=DATE(Inputs!$E$17,Inputs!$E$15,Inputs!$E$16),(V25+V26)/AVERAGE('Annual Inc Statement Reported'!$E$13,'Annual Inc Statement Reported'!$F$13),(V25+V26)/SUM(OFFSET('Interim Inc Statement Reported'!V13,0,-1,,2)))),"")</f>
        <v>0.33304347826086955</v>
      </c>
      <c r="W86" s="78">
        <f ca="1">IFERROR(IF(Inputs!$E$14="Quarterly",IF(YEAR(W3)=Inputs!$E$17,(W25+W26)/AVERAGE('Annual Inc Statement Reported'!$F$13,'Annual Inc Statement Reported'!$G$13),(W25+W26)/SUM(OFFSET('Interim Inc Statement Reported'!W13,0,-3,,4))),IF(W3&lt;=DATE(Inputs!$E$17,Inputs!$E$15,Inputs!$E$16),(W25+W26)/AVERAGE('Annual Inc Statement Reported'!$E$13,'Annual Inc Statement Reported'!$F$13),(W25+W26)/SUM(OFFSET('Interim Inc Statement Reported'!W13,0,-1,,2)))),"")</f>
        <v>0.61002117148906143</v>
      </c>
      <c r="X86" s="78">
        <f ca="1">IFERROR(IF(Inputs!$E$14="Quarterly",IF(YEAR(X3)=Inputs!$E$17,(X25+X26)/AVERAGE('Annual Inc Statement Reported'!$F$13,'Annual Inc Statement Reported'!$G$13),(X25+X26)/SUM(OFFSET('Interim Inc Statement Reported'!X13,0,-3,,4))),IF(X3&lt;=DATE(Inputs!$E$17,Inputs!$E$15,Inputs!$E$16),(X25+X26)/AVERAGE('Annual Inc Statement Reported'!$E$13,'Annual Inc Statement Reported'!$F$13),(X25+X26)/SUM(OFFSET('Interim Inc Statement Reported'!X13,0,-1,,2)))),"")</f>
        <v>0.82942180499253249</v>
      </c>
      <c r="Y86" s="78">
        <f ca="1">IFERROR(IF(Inputs!$E$14="Quarterly",IF(YEAR(Y3)=Inputs!$E$17,(Y25+Y26)/AVERAGE('Annual Inc Statement Reported'!$F$13,'Annual Inc Statement Reported'!$G$13),(Y25+Y26)/SUM(OFFSET('Interim Inc Statement Reported'!Y13,0,-3,,4))),IF(Y3&lt;=DATE(Inputs!$E$17,Inputs!$E$15,Inputs!$E$16),(Y25+Y26)/AVERAGE('Annual Inc Statement Reported'!$E$13,'Annual Inc Statement Reported'!$F$13),(Y25+Y26)/SUM(OFFSET('Interim Inc Statement Reported'!Y13,0,-1,,2)))),"")</f>
        <v>1.2859591976684381</v>
      </c>
      <c r="Z86" s="78">
        <f ca="1">IFERROR(IF(Inputs!$E$14="Quarterly",IF(YEAR(Z3)=Inputs!$E$17,(Z25+Z26)/AVERAGE('Annual Inc Statement Reported'!$F$13,'Annual Inc Statement Reported'!$G$13),(Z25+Z26)/SUM(OFFSET('Interim Inc Statement Reported'!Z13,0,-3,,4))),IF(Z3&lt;=DATE(Inputs!$E$17,Inputs!$E$15,Inputs!$E$16),(Z25+Z26)/AVERAGE('Annual Inc Statement Reported'!$E$13,'Annual Inc Statement Reported'!$F$13),(Z25+Z26)/SUM(OFFSET('Interim Inc Statement Reported'!Z13,0,-1,,2)))),"")</f>
        <v>2.1017605633802816</v>
      </c>
      <c r="AA86" s="78">
        <f ca="1">IFERROR(IF(Inputs!$E$14="Quarterly",IF(YEAR(AA3)=Inputs!$E$17,(AA25+AA26)/AVERAGE('Annual Inc Statement Reported'!$F$13,'Annual Inc Statement Reported'!$G$13),(AA25+AA26)/SUM(OFFSET('Interim Inc Statement Reported'!AA13,0,-3,,4))),IF(AA3&lt;=DATE(Inputs!$E$17,Inputs!$E$15,Inputs!$E$16),(AA25+AA26)/AVERAGE('Annual Inc Statement Reported'!$E$13,'Annual Inc Statement Reported'!$F$13),(AA25+AA26)/SUM(OFFSET('Interim Inc Statement Reported'!AA13,0,-1,,2)))),"")</f>
        <v>1.6168253968253967</v>
      </c>
      <c r="AB86" s="78">
        <f ca="1">IFERROR(IF(Inputs!$E$14="Quarterly",IF(YEAR(AB3)=Inputs!$E$17,(AB25+AB26)/AVERAGE('Annual Inc Statement Reported'!$F$13,'Annual Inc Statement Reported'!$G$13),(AB25+AB26)/SUM(OFFSET('Interim Inc Statement Reported'!AB13,0,-3,,4))),IF(AB3&lt;=DATE(Inputs!$E$17,Inputs!$E$15,Inputs!$E$16),(AB25+AB26)/AVERAGE('Annual Inc Statement Reported'!$E$13,'Annual Inc Statement Reported'!$F$13),(AB25+AB26)/SUM(OFFSET('Interim Inc Statement Reported'!AB13,0,-1,,2)))),"")</f>
        <v>1.9354982206405693</v>
      </c>
    </row>
    <row r="87" spans="1:28" s="11" customFormat="1" x14ac:dyDescent="0.3">
      <c r="A87" s="14" t="s">
        <v>140</v>
      </c>
      <c r="B87" s="258">
        <f ca="1">IFERROR(IF(Inputs!$E$14="Quarterly",IF(YEAR(B3)=Inputs!$E$17,((B25+B26)/-AVERAGE(('Annual Inc Statement Reported'!$F$24+'Annual Inc Statement Reported'!$F$27),('Annual Inc Statement Reported'!$G$24+'Annual Inc Statement Reported'!$G$27))*12),((B25+B26)/-SUM(OFFSET('Interim Inc Statement Reported'!B24,0,-3,,4),OFFSET('Interim Inc Statement Reported'!B27,0,-3,,4)))),IF(B3&lt;=DATE(Inputs!$E$17,Inputs!$E$15,Inputs!$E$16),((B25+B26)/-AVERAGE(('Annual Inc Statement Reported'!$E$24+'Annual Inc Statement Reported'!$E$27),('Annual Inc Statement Reported'!$F$24+'Annual Inc Statement Reported'!$F$27))*12),((B25+B26)/-SUM(OFFSET('Interim Inc Statement Reported'!B24,0,-1,,2),OFFSET('Interim Inc Statement Reported'!B27,0,-1,,2))))),"")</f>
        <v>2.8954832155103079</v>
      </c>
      <c r="C87" s="258">
        <f ca="1">IFERROR(IF(Inputs!$E$14="Quarterly",IF(YEAR(C3)=Inputs!$E$17,((C25+C26)/-AVERAGE(('Annual Inc Statement Reported'!$F$24+'Annual Inc Statement Reported'!$F$27),('Annual Inc Statement Reported'!$G$24+'Annual Inc Statement Reported'!$G$27))*12),((C25+C26)/-SUM(OFFSET('Interim Inc Statement Reported'!C24,0,-3,,4),OFFSET('Interim Inc Statement Reported'!C27,0,-3,,4)))),IF(C3&lt;=DATE(Inputs!$E$17,Inputs!$E$15,Inputs!$E$16),((C25+C26)/-AVERAGE(('Annual Inc Statement Reported'!$F$24+'Annual Inc Statement Reported'!$F$27),('Annual Inc Statement Reported'!$G$24+'Annual Inc Statement Reported'!$G$27))*12),((C25+C26)/-SUM(OFFSET('Interim Inc Statement Reported'!C24,0,-1,,2),OFFSET('Interim Inc Statement Reported'!C27,0,-1,,2))))),"")</f>
        <v>3.0692122084409261</v>
      </c>
      <c r="D87" s="258">
        <f ca="1">IFERROR(IF(Inputs!$E$14="Quarterly",IF(YEAR(D3)=Inputs!$E$17,((D25+D26)/-AVERAGE(('Annual Inc Statement Reported'!$F$24+'Annual Inc Statement Reported'!$F$27),('Annual Inc Statement Reported'!$G$24+'Annual Inc Statement Reported'!$G$27))*12),((D25+D26)/-SUM(OFFSET('Interim Inc Statement Reported'!D24,0,-3,,4),OFFSET('Interim Inc Statement Reported'!D27,0,-3,,4)))),IF(D3&lt;=DATE(Inputs!$E$17,Inputs!$E$15,Inputs!$E$16),((D25+D26)/-AVERAGE(('Annual Inc Statement Reported'!$F$24+'Annual Inc Statement Reported'!$F$27),('Annual Inc Statement Reported'!$G$24+'Annual Inc Statement Reported'!$G$27))*12),((D25+D26)/-SUM(OFFSET('Interim Inc Statement Reported'!D24,0,-1,,2),OFFSET('Interim Inc Statement Reported'!D27,0,-1,,2))))),"")</f>
        <v>3.1657283156246034</v>
      </c>
      <c r="E87" s="258">
        <f ca="1">IFERROR(IF(Inputs!$E$14="Quarterly",IF(YEAR(E3)=Inputs!$E$17,((E25+E26)/-AVERAGE(('Annual Inc Statement Reported'!$F$24+'Annual Inc Statement Reported'!$F$27),('Annual Inc Statement Reported'!$G$24+'Annual Inc Statement Reported'!$G$27))*12),((E25+E26)/-SUM(OFFSET('Interim Inc Statement Reported'!E24,0,-3,,4),OFFSET('Interim Inc Statement Reported'!E27,0,-3,,4)))),IF(E3&lt;=DATE(Inputs!$E$17,Inputs!$E$15,Inputs!$E$16),((E25+E26)/-AVERAGE(('Annual Inc Statement Reported'!$F$24+'Annual Inc Statement Reported'!$F$27),('Annual Inc Statement Reported'!$G$24+'Annual Inc Statement Reported'!$G$27))*12),((E25+E26)/-SUM(OFFSET('Interim Inc Statement Reported'!E24,0,-1,,2),OFFSET('Interim Inc Statement Reported'!E27,0,-1,,2))))),"")</f>
        <v>2.7146425094187867</v>
      </c>
      <c r="F87" s="258">
        <f ca="1">IFERROR(IF(Inputs!$E$14="Quarterly",IF(YEAR(F3)=Inputs!$E$17,((F25+F26)/-AVERAGE(('Annual Inc Statement Reported'!$F$24+'Annual Inc Statement Reported'!$F$27),('Annual Inc Statement Reported'!$G$24+'Annual Inc Statement Reported'!$G$27))*12),((F25+F26)/-SUM(OFFSET('Interim Inc Statement Reported'!F24,0,-3,,4),OFFSET('Interim Inc Statement Reported'!F27,0,-3,,4)))),IF(F3&lt;=DATE(Inputs!$E$17,Inputs!$E$15,Inputs!$E$16),((F25+F26)/-AVERAGE(('Annual Inc Statement Reported'!$F$24+'Annual Inc Statement Reported'!$F$27),('Annual Inc Statement Reported'!$G$24+'Annual Inc Statement Reported'!$G$27))*12),((F25+F26)/-SUM(OFFSET('Interim Inc Statement Reported'!F24,0,-1,,2),OFFSET('Interim Inc Statement Reported'!F27,0,-1,,2))))),"")</f>
        <v>0.24932318104906936</v>
      </c>
      <c r="G87" s="258">
        <f ca="1">IFERROR(IF(Inputs!$E$14="Quarterly",IF(YEAR(G3)=Inputs!$E$17,((G25+G26)/-AVERAGE(('Annual Inc Statement Reported'!$F$24+'Annual Inc Statement Reported'!$F$27),('Annual Inc Statement Reported'!$G$24+'Annual Inc Statement Reported'!$G$27))*12),((G25+G26)/-SUM(OFFSET('Interim Inc Statement Reported'!G24,0,-3,,4),OFFSET('Interim Inc Statement Reported'!G27,0,-3,,4)))),IF(G3&lt;=DATE(Inputs!$E$17,Inputs!$E$15,Inputs!$E$16),((G25+G26)/-AVERAGE(('Annual Inc Statement Reported'!$F$24+'Annual Inc Statement Reported'!$F$27),('Annual Inc Statement Reported'!$G$24+'Annual Inc Statement Reported'!$G$27))*12),((G25+G26)/-SUM(OFFSET('Interim Inc Statement Reported'!G24,0,-1,,2),OFFSET('Interim Inc Statement Reported'!G27,0,-1,,2))))),"")</f>
        <v>0.26538526386781319</v>
      </c>
      <c r="H87" s="258">
        <f ca="1">IFERROR(IF(Inputs!$E$14="Quarterly",IF(YEAR(H3)=Inputs!$E$17,((H25+H26)/-AVERAGE(('Annual Inc Statement Reported'!$F$24+'Annual Inc Statement Reported'!$F$27),('Annual Inc Statement Reported'!$G$24+'Annual Inc Statement Reported'!$G$27))*12),((H25+H26)/-SUM(OFFSET('Interim Inc Statement Reported'!H24,0,-3,,4),OFFSET('Interim Inc Statement Reported'!H27,0,-3,,4)))),IF(H3&lt;=DATE(Inputs!$E$17,Inputs!$E$15,Inputs!$E$16),((H25+H26)/-AVERAGE(('Annual Inc Statement Reported'!$F$24+'Annual Inc Statement Reported'!$F$27),('Annual Inc Statement Reported'!$G$24+'Annual Inc Statement Reported'!$G$27))*12),((H25+H26)/-SUM(OFFSET('Interim Inc Statement Reported'!H24,0,-1,,2),OFFSET('Interim Inc Statement Reported'!H27,0,-1,,2))))),"")</f>
        <v>0.28254072733256541</v>
      </c>
      <c r="I87" s="258">
        <f ca="1">IFERROR(IF(Inputs!$E$14="Quarterly",IF(YEAR(I3)=Inputs!$E$17,((I25+I26)/-AVERAGE(('Annual Inc Statement Reported'!$F$24+'Annual Inc Statement Reported'!$F$27),('Annual Inc Statement Reported'!$G$24+'Annual Inc Statement Reported'!$G$27))*12),((I25+I26)/-SUM(OFFSET('Interim Inc Statement Reported'!I24,0,-3,,4),OFFSET('Interim Inc Statement Reported'!I27,0,-3,,4)))),IF(I3&lt;=DATE(Inputs!$E$17,Inputs!$E$15,Inputs!$E$16),((I25+I26)/-AVERAGE(('Annual Inc Statement Reported'!$F$24+'Annual Inc Statement Reported'!$F$27),('Annual Inc Statement Reported'!$G$24+'Annual Inc Statement Reported'!$G$27))*12),((I25+I26)/-SUM(OFFSET('Interim Inc Statement Reported'!I24,0,-1,,2),OFFSET('Interim Inc Statement Reported'!I27,0,-1,,2))))),"")</f>
        <v>0.2397585513078471</v>
      </c>
      <c r="J87" s="258">
        <f ca="1">IFERROR(IF(Inputs!$E$14="Quarterly",IF(YEAR(J3)=Inputs!$E$17,((J25+J26)/-AVERAGE(('Annual Inc Statement Reported'!$F$24+'Annual Inc Statement Reported'!$F$27),('Annual Inc Statement Reported'!$G$24+'Annual Inc Statement Reported'!$G$27))*12),((J25+J26)/-SUM(OFFSET('Interim Inc Statement Reported'!J24,0,-3,,4),OFFSET('Interim Inc Statement Reported'!J27,0,-3,,4)))),IF(J3&lt;=DATE(Inputs!$E$17,Inputs!$E$15,Inputs!$E$16),((J25+J26)/-AVERAGE(('Annual Inc Statement Reported'!$F$24+'Annual Inc Statement Reported'!$F$27),('Annual Inc Statement Reported'!$G$24+'Annual Inc Statement Reported'!$G$27))*12),((J25+J26)/-SUM(OFFSET('Interim Inc Statement Reported'!J24,0,-1,,2),OFFSET('Interim Inc Statement Reported'!J27,0,-1,,2))))),"")</f>
        <v>0.28189172370877413</v>
      </c>
      <c r="K87" s="258">
        <f ca="1">IFERROR(IF(Inputs!$E$14="Quarterly",IF(YEAR(K3)=Inputs!$E$17,((K25+K26)/-AVERAGE(('Annual Inc Statement Reported'!$F$24+'Annual Inc Statement Reported'!$F$27),('Annual Inc Statement Reported'!$G$24+'Annual Inc Statement Reported'!$G$27))*12),((K25+K26)/-SUM(OFFSET('Interim Inc Statement Reported'!K24,0,-3,,4),OFFSET('Interim Inc Statement Reported'!K27,0,-3,,4)))),IF(K3&lt;=DATE(Inputs!$E$17,Inputs!$E$15,Inputs!$E$16),((K25+K26)/-AVERAGE(('Annual Inc Statement Reported'!$F$24+'Annual Inc Statement Reported'!$F$27),('Annual Inc Statement Reported'!$G$24+'Annual Inc Statement Reported'!$G$27))*12),((K25+K26)/-SUM(OFFSET('Interim Inc Statement Reported'!K24,0,-1,,2),OFFSET('Interim Inc Statement Reported'!K27,0,-1,,2))))),"")</f>
        <v>0.30563932448733416</v>
      </c>
      <c r="L87" s="258">
        <f ca="1">IFERROR(IF(Inputs!$E$14="Quarterly",IF(YEAR(L3)=Inputs!$E$17,((L25+L26)/-AVERAGE(('Annual Inc Statement Reported'!$F$24+'Annual Inc Statement Reported'!$F$27),('Annual Inc Statement Reported'!$G$24+'Annual Inc Statement Reported'!$G$27))*12),((L25+L26)/-SUM(OFFSET('Interim Inc Statement Reported'!L24,0,-3,,4),OFFSET('Interim Inc Statement Reported'!L27,0,-3,,4)))),IF(L3&lt;=DATE(Inputs!$E$17,Inputs!$E$15,Inputs!$E$16),((L25+L26)/-AVERAGE(('Annual Inc Statement Reported'!$F$24+'Annual Inc Statement Reported'!$F$27),('Annual Inc Statement Reported'!$G$24+'Annual Inc Statement Reported'!$G$27))*12),((L25+L26)/-SUM(OFFSET('Interim Inc Statement Reported'!L24,0,-1,,2),OFFSET('Interim Inc Statement Reported'!L27,0,-1,,2))))),"")</f>
        <v>0.30548167848699764</v>
      </c>
      <c r="M87" s="258">
        <f ca="1">IFERROR(IF(Inputs!$E$14="Quarterly",IF(YEAR(M3)=Inputs!$E$17,((M25+M26)/-AVERAGE(('Annual Inc Statement Reported'!$F$24+'Annual Inc Statement Reported'!$F$27),('Annual Inc Statement Reported'!$G$24+'Annual Inc Statement Reported'!$G$27))*12),((M25+M26)/-SUM(OFFSET('Interim Inc Statement Reported'!M24,0,-3,,4),OFFSET('Interim Inc Statement Reported'!M27,0,-3,,4)))),IF(M3&lt;=DATE(Inputs!$E$17,Inputs!$E$15,Inputs!$E$16),((M25+M26)/-AVERAGE(('Annual Inc Statement Reported'!$F$24+'Annual Inc Statement Reported'!$F$27),('Annual Inc Statement Reported'!$G$24+'Annual Inc Statement Reported'!$G$27))*12),((M25+M26)/-SUM(OFFSET('Interim Inc Statement Reported'!M24,0,-1,,2),OFFSET('Interim Inc Statement Reported'!M27,0,-1,,2))))),"")</f>
        <v>0.27418192302147903</v>
      </c>
      <c r="N87" s="258">
        <f ca="1">IFERROR(IF(Inputs!$E$14="Quarterly",IF(YEAR(N3)=Inputs!$E$17,((N25+N26)/-AVERAGE(('Annual Inc Statement Reported'!$F$24+'Annual Inc Statement Reported'!$F$27),('Annual Inc Statement Reported'!$G$24+'Annual Inc Statement Reported'!$G$27))*12),((N25+N26)/-SUM(OFFSET('Interim Inc Statement Reported'!N24,0,-3,,4),OFFSET('Interim Inc Statement Reported'!N27,0,-3,,4)))),IF(N3&lt;=DATE(Inputs!$E$17,Inputs!$E$15,Inputs!$E$16),((N25+N26)/-AVERAGE(('Annual Inc Statement Reported'!$F$24+'Annual Inc Statement Reported'!$F$27),('Annual Inc Statement Reported'!$G$24+'Annual Inc Statement Reported'!$G$27))*12),((N25+N26)/-SUM(OFFSET('Interim Inc Statement Reported'!N24,0,-1,,2),OFFSET('Interim Inc Statement Reported'!N27,0,-1,,2))))),"")</f>
        <v>0.31542023291707588</v>
      </c>
      <c r="O87" s="258">
        <f ca="1">IFERROR(IF(Inputs!$E$14="Quarterly",IF(YEAR(O3)=Inputs!$E$17,((O25+O26)/-AVERAGE(('Annual Inc Statement Reported'!$F$24+'Annual Inc Statement Reported'!$F$27),('Annual Inc Statement Reported'!$G$24+'Annual Inc Statement Reported'!$G$27))*12),((O25+O26)/-SUM(OFFSET('Interim Inc Statement Reported'!O24,0,-3,,4),OFFSET('Interim Inc Statement Reported'!O27,0,-3,,4)))),IF(O3&lt;=DATE(Inputs!$E$17,Inputs!$E$15,Inputs!$E$16),((O25+O26)/-AVERAGE(('Annual Inc Statement Reported'!$F$24+'Annual Inc Statement Reported'!$F$27),('Annual Inc Statement Reported'!$G$24+'Annual Inc Statement Reported'!$G$27))*12),((O25+O26)/-SUM(OFFSET('Interim Inc Statement Reported'!O24,0,-1,,2),OFFSET('Interim Inc Statement Reported'!O27,0,-1,,2))))),"")</f>
        <v>0.31777354382144801</v>
      </c>
      <c r="P87" s="258">
        <f ca="1">IFERROR(IF(Inputs!$E$14="Quarterly",IF(YEAR(P3)=Inputs!$E$17,((P25+P26)/-AVERAGE(('Annual Inc Statement Reported'!$F$24+'Annual Inc Statement Reported'!$F$27),('Annual Inc Statement Reported'!$G$24+'Annual Inc Statement Reported'!$G$27))*12),((P25+P26)/-SUM(OFFSET('Interim Inc Statement Reported'!P24,0,-3,,4),OFFSET('Interim Inc Statement Reported'!P27,0,-3,,4)))),IF(P3&lt;=DATE(Inputs!$E$17,Inputs!$E$15,Inputs!$E$16),((P25+P26)/-AVERAGE(('Annual Inc Statement Reported'!$F$24+'Annual Inc Statement Reported'!$F$27),('Annual Inc Statement Reported'!$G$24+'Annual Inc Statement Reported'!$G$27))*12),((P25+P26)/-SUM(OFFSET('Interim Inc Statement Reported'!P24,0,-1,,2),OFFSET('Interim Inc Statement Reported'!P27,0,-1,,2))))),"")</f>
        <v>0.31969342686412056</v>
      </c>
      <c r="Q87" s="258">
        <f ca="1">IFERROR(IF(Inputs!$E$14="Quarterly",IF(YEAR(Q3)=Inputs!$E$17,((Q25+Q26)/-AVERAGE(('Annual Inc Statement Reported'!$F$24+'Annual Inc Statement Reported'!$F$27),('Annual Inc Statement Reported'!$G$24+'Annual Inc Statement Reported'!$G$27))*12),((Q25+Q26)/-SUM(OFFSET('Interim Inc Statement Reported'!Q24,0,-3,,4),OFFSET('Interim Inc Statement Reported'!Q27,0,-3,,4)))),IF(Q3&lt;=DATE(Inputs!$E$17,Inputs!$E$15,Inputs!$E$16),((Q25+Q26)/-AVERAGE(('Annual Inc Statement Reported'!$F$24+'Annual Inc Statement Reported'!$F$27),('Annual Inc Statement Reported'!$G$24+'Annual Inc Statement Reported'!$G$27))*12),((Q25+Q26)/-SUM(OFFSET('Interim Inc Statement Reported'!Q24,0,-1,,2),OFFSET('Interim Inc Statement Reported'!Q27,0,-1,,2))))),"")</f>
        <v>0.29770413003605084</v>
      </c>
      <c r="R87" s="258">
        <f ca="1">IFERROR(IF(Inputs!$E$14="Quarterly",IF(YEAR(R3)=Inputs!$E$17,((R25+R26)/-AVERAGE(('Annual Inc Statement Reported'!$F$24+'Annual Inc Statement Reported'!$F$27),('Annual Inc Statement Reported'!$G$24+'Annual Inc Statement Reported'!$G$27))*12),((R25+R26)/-SUM(OFFSET('Interim Inc Statement Reported'!R24,0,-3,,4),OFFSET('Interim Inc Statement Reported'!R27,0,-3,,4)))),IF(R3&lt;=DATE(Inputs!$E$17,Inputs!$E$15,Inputs!$E$16),((R25+R26)/-AVERAGE(('Annual Inc Statement Reported'!$F$24+'Annual Inc Statement Reported'!$F$27),('Annual Inc Statement Reported'!$G$24+'Annual Inc Statement Reported'!$G$27))*12),((R25+R26)/-SUM(OFFSET('Interim Inc Statement Reported'!R24,0,-1,,2),OFFSET('Interim Inc Statement Reported'!R27,0,-1,,2))))),"")</f>
        <v>0.3704217361154889</v>
      </c>
      <c r="S87" s="258">
        <f ca="1">IFERROR(IF(Inputs!$E$14="Quarterly",IF(YEAR(S3)=Inputs!$E$17,((S25+S26)/-AVERAGE(('Annual Inc Statement Reported'!$F$24+'Annual Inc Statement Reported'!$F$27),('Annual Inc Statement Reported'!$G$24+'Annual Inc Statement Reported'!$G$27))*12),((S25+S26)/-SUM(OFFSET('Interim Inc Statement Reported'!S24,0,-3,,4),OFFSET('Interim Inc Statement Reported'!S27,0,-3,,4)))),IF(S3&lt;=DATE(Inputs!$E$17,Inputs!$E$15,Inputs!$E$16),((S25+S26)/-AVERAGE(('Annual Inc Statement Reported'!$F$24+'Annual Inc Statement Reported'!$F$27),('Annual Inc Statement Reported'!$G$24+'Annual Inc Statement Reported'!$G$27))*12),((S25+S26)/-SUM(OFFSET('Interim Inc Statement Reported'!S24,0,-1,,2),OFFSET('Interim Inc Statement Reported'!S27,0,-1,,2))))),"")</f>
        <v>0.3729763779527559</v>
      </c>
      <c r="T87" s="258">
        <f ca="1">IFERROR(IF(Inputs!$E$14="Quarterly",IF(YEAR(T3)=Inputs!$E$17,((T25+T26)/-AVERAGE(('Annual Inc Statement Reported'!$F$24+'Annual Inc Statement Reported'!$F$27),('Annual Inc Statement Reported'!$G$24+'Annual Inc Statement Reported'!$G$27))*12),((T25+T26)/-SUM(OFFSET('Interim Inc Statement Reported'!T24,0,-3,,4),OFFSET('Interim Inc Statement Reported'!T27,0,-3,,4)))),IF(T3&lt;=DATE(Inputs!$E$17,Inputs!$E$15,Inputs!$E$16),((T25+T26)/-AVERAGE(('Annual Inc Statement Reported'!$F$24+'Annual Inc Statement Reported'!$F$27),('Annual Inc Statement Reported'!$G$24+'Annual Inc Statement Reported'!$G$27))*12),((T25+T26)/-SUM(OFFSET('Interim Inc Statement Reported'!T24,0,-1,,2),OFFSET('Interim Inc Statement Reported'!T27,0,-1,,2))))),"")</f>
        <v>0.37503993865422713</v>
      </c>
      <c r="U87" s="258">
        <f ca="1">IFERROR(IF(Inputs!$E$14="Quarterly",IF(YEAR(U3)=Inputs!$E$17,((U25+U26)/-AVERAGE(('Annual Inc Statement Reported'!$F$24+'Annual Inc Statement Reported'!$F$27),('Annual Inc Statement Reported'!$G$24+'Annual Inc Statement Reported'!$G$27))*12),((U25+U26)/-SUM(OFFSET('Interim Inc Statement Reported'!U24,0,-3,,4),OFFSET('Interim Inc Statement Reported'!U27,0,-3,,4)))),IF(U3&lt;=DATE(Inputs!$E$17,Inputs!$E$15,Inputs!$E$16),((U25+U26)/-AVERAGE(('Annual Inc Statement Reported'!$F$24+'Annual Inc Statement Reported'!$F$27),('Annual Inc Statement Reported'!$G$24+'Annual Inc Statement Reported'!$G$27))*12),((U25+U26)/-SUM(OFFSET('Interim Inc Statement Reported'!U24,0,-1,,2),OFFSET('Interim Inc Statement Reported'!U27,0,-1,,2))))),"")</f>
        <v>0.38005808325266216</v>
      </c>
      <c r="V87" s="258">
        <f ca="1">IFERROR(IF(Inputs!$E$14="Quarterly",IF(YEAR(V3)=Inputs!$E$17,((V25+V26)/-AVERAGE(('Annual Inc Statement Reported'!$F$24+'Annual Inc Statement Reported'!$F$27),('Annual Inc Statement Reported'!$G$24+'Annual Inc Statement Reported'!$G$27))*12),((V25+V26)/-SUM(OFFSET('Interim Inc Statement Reported'!V24,0,-3,,4),OFFSET('Interim Inc Statement Reported'!V27,0,-3,,4)))),IF(V3&lt;=DATE(Inputs!$E$17,Inputs!$E$15,Inputs!$E$16),((V25+V26)/-AVERAGE(('Annual Inc Statement Reported'!$F$24+'Annual Inc Statement Reported'!$F$27),('Annual Inc Statement Reported'!$G$24+'Annual Inc Statement Reported'!$G$27))*12),((V25+V26)/-SUM(OFFSET('Interim Inc Statement Reported'!V24,0,-1,,2),OFFSET('Interim Inc Statement Reported'!V27,0,-1,,2))))),"")</f>
        <v>0.40115213406650957</v>
      </c>
      <c r="W87" s="258">
        <f ca="1">IFERROR(IF(Inputs!$E$14="Quarterly",IF(YEAR(W3)=Inputs!$E$17,((W25+W26)/-AVERAGE(('Annual Inc Statement Reported'!$F$24+'Annual Inc Statement Reported'!$F$27),('Annual Inc Statement Reported'!$G$24+'Annual Inc Statement Reported'!$G$27))*12),((W25+W26)/-SUM(OFFSET('Interim Inc Statement Reported'!W24,0,-3,,4),OFFSET('Interim Inc Statement Reported'!W27,0,-3,,4)))),IF(W3&lt;=DATE(Inputs!$E$17,Inputs!$E$15,Inputs!$E$16),((W25+W26)/-AVERAGE(('Annual Inc Statement Reported'!$F$24+'Annual Inc Statement Reported'!$F$27),('Annual Inc Statement Reported'!$G$24+'Annual Inc Statement Reported'!$G$27))*12),((W25+W26)/-SUM(OFFSET('Interim Inc Statement Reported'!W24,0,-1,,2),OFFSET('Interim Inc Statement Reported'!W27,0,-1,,2))))),"")</f>
        <v>0.68041561712846343</v>
      </c>
      <c r="X87" s="258">
        <f ca="1">IFERROR(IF(Inputs!$E$14="Quarterly",IF(YEAR(X3)=Inputs!$E$17,((X25+X26)/-AVERAGE(('Annual Inc Statement Reported'!$F$24+'Annual Inc Statement Reported'!$F$27),('Annual Inc Statement Reported'!$G$24+'Annual Inc Statement Reported'!$G$27))*12),((X25+X26)/-SUM(OFFSET('Interim Inc Statement Reported'!X24,0,-3,,4),OFFSET('Interim Inc Statement Reported'!X27,0,-3,,4)))),IF(X3&lt;=DATE(Inputs!$E$17,Inputs!$E$15,Inputs!$E$16),((X25+X26)/-AVERAGE(('Annual Inc Statement Reported'!$F$24+'Annual Inc Statement Reported'!$F$27),('Annual Inc Statement Reported'!$G$24+'Annual Inc Statement Reported'!$G$27))*12),((X25+X26)/-SUM(OFFSET('Interim Inc Statement Reported'!X24,0,-1,,2),OFFSET('Interim Inc Statement Reported'!X27,0,-1,,2))))),"")</f>
        <v>0.79784504874294515</v>
      </c>
      <c r="Y87" s="258">
        <f ca="1">IFERROR(IF(Inputs!$E$14="Quarterly",IF(YEAR(Y3)=Inputs!$E$17,((Y25+Y26)/-AVERAGE(('Annual Inc Statement Reported'!$F$24+'Annual Inc Statement Reported'!$F$27),('Annual Inc Statement Reported'!$G$24+'Annual Inc Statement Reported'!$G$27))*12),((Y25+Y26)/-SUM(OFFSET('Interim Inc Statement Reported'!Y24,0,-3,,4),OFFSET('Interim Inc Statement Reported'!Y27,0,-3,,4)))),IF(Y3&lt;=DATE(Inputs!$E$17,Inputs!$E$15,Inputs!$E$16),((Y25+Y26)/-AVERAGE(('Annual Inc Statement Reported'!$F$24+'Annual Inc Statement Reported'!$F$27),('Annual Inc Statement Reported'!$G$24+'Annual Inc Statement Reported'!$G$27))*12),((Y25+Y26)/-SUM(OFFSET('Interim Inc Statement Reported'!Y24,0,-1,,2),OFFSET('Interim Inc Statement Reported'!Y27,0,-1,,2))))),"")</f>
        <v>1.0069808027923211</v>
      </c>
      <c r="Z87" s="258">
        <f ca="1">IFERROR(IF(Inputs!$E$14="Quarterly",IF(YEAR(Z3)=Inputs!$E$17,((Z25+Z26)/-AVERAGE(('Annual Inc Statement Reported'!$F$24+'Annual Inc Statement Reported'!$F$27),('Annual Inc Statement Reported'!$G$24+'Annual Inc Statement Reported'!$G$27))*12),((Z25+Z26)/-SUM(OFFSET('Interim Inc Statement Reported'!Z24,0,-3,,4),OFFSET('Interim Inc Statement Reported'!Z27,0,-3,,4)))),IF(Z3&lt;=DATE(Inputs!$E$17,Inputs!$E$15,Inputs!$E$16),((Z25+Z26)/-AVERAGE(('Annual Inc Statement Reported'!$F$24+'Annual Inc Statement Reported'!$F$27),('Annual Inc Statement Reported'!$G$24+'Annual Inc Statement Reported'!$G$27))*12),((Z25+Z26)/-SUM(OFFSET('Interim Inc Statement Reported'!Z24,0,-1,,2),OFFSET('Interim Inc Statement Reported'!Z27,0,-1,,2))))),"")</f>
        <v>1.1606066498152829</v>
      </c>
      <c r="AA87" s="258">
        <f ca="1">IFERROR(IF(Inputs!$E$14="Quarterly",IF(YEAR(AA3)=Inputs!$E$17,((AA25+AA26)/-AVERAGE(('Annual Inc Statement Reported'!$F$24+'Annual Inc Statement Reported'!$F$27),('Annual Inc Statement Reported'!$G$24+'Annual Inc Statement Reported'!$G$27))*12),((AA25+AA26)/-SUM(OFFSET('Interim Inc Statement Reported'!AA24,0,-3,,4),OFFSET('Interim Inc Statement Reported'!AA27,0,-3,,4)))),IF(AA3&lt;=DATE(Inputs!$E$17,Inputs!$E$15,Inputs!$E$16),((AA25+AA26)/-AVERAGE(('Annual Inc Statement Reported'!$F$24+'Annual Inc Statement Reported'!$F$27),('Annual Inc Statement Reported'!$G$24+'Annual Inc Statement Reported'!$G$27))*12),((AA25+AA26)/-SUM(OFFSET('Interim Inc Statement Reported'!AA24,0,-1,,2),OFFSET('Interim Inc Statement Reported'!AA27,0,-1,,2))))),"")</f>
        <v>0.93724696356275305</v>
      </c>
      <c r="AB87" s="258">
        <f ca="1">IFERROR(IF(Inputs!$E$14="Quarterly",IF(YEAR(AB3)=Inputs!$E$17,((AB25+AB26)/-AVERAGE(('Annual Inc Statement Reported'!$F$24+'Annual Inc Statement Reported'!$F$27),('Annual Inc Statement Reported'!$G$24+'Annual Inc Statement Reported'!$G$27))*12),((AB25+AB26)/-SUM(OFFSET('Interim Inc Statement Reported'!AB24,0,-3,,4),OFFSET('Interim Inc Statement Reported'!AB27,0,-3,,4)))),IF(AB3&lt;=DATE(Inputs!$E$17,Inputs!$E$15,Inputs!$E$16),((AB25+AB26)/-AVERAGE(('Annual Inc Statement Reported'!$F$24+'Annual Inc Statement Reported'!$F$27),('Annual Inc Statement Reported'!$G$24+'Annual Inc Statement Reported'!$G$27))*12),((AB25+AB26)/-SUM(OFFSET('Interim Inc Statement Reported'!AB24,0,-1,,2),OFFSET('Interim Inc Statement Reported'!AB27,0,-1,,2))))),"")</f>
        <v>1.3616022531685181</v>
      </c>
    </row>
    <row r="88" spans="1:28" x14ac:dyDescent="0.3">
      <c r="A88" s="85" t="s">
        <v>141</v>
      </c>
      <c r="B88" s="2">
        <f>IFERROR((B25+B26)/B70,"")</f>
        <v>0.49078698122955056</v>
      </c>
      <c r="C88" s="2">
        <f t="shared" ref="C88:K88" si="147">IFERROR((C25+C26)/C70,"")</f>
        <v>0.53744885251734564</v>
      </c>
      <c r="D88" s="2">
        <f t="shared" si="147"/>
        <v>0.50765721733463665</v>
      </c>
      <c r="E88" s="2">
        <f t="shared" si="147"/>
        <v>0.41789177353769158</v>
      </c>
      <c r="F88" s="2">
        <f t="shared" si="147"/>
        <v>0.45704094292803971</v>
      </c>
      <c r="G88" s="2">
        <f t="shared" si="147"/>
        <v>0.45294964028776979</v>
      </c>
      <c r="H88" s="2">
        <f t="shared" si="147"/>
        <v>0.49218861975060912</v>
      </c>
      <c r="I88" s="2">
        <f t="shared" si="147"/>
        <v>0.45013599274705351</v>
      </c>
      <c r="J88" s="2">
        <f t="shared" si="147"/>
        <v>0.53419811320754718</v>
      </c>
      <c r="K88" s="2">
        <f t="shared" si="147"/>
        <v>0.59926090169992607</v>
      </c>
      <c r="L88" s="2">
        <f t="shared" ref="L88:O88" si="148">IFERROR((L25+L26)/L70,"")</f>
        <v>0.65334176015168277</v>
      </c>
      <c r="M88" s="2">
        <f t="shared" si="148"/>
        <v>0.62167020755025326</v>
      </c>
      <c r="N88" s="2">
        <f t="shared" si="148"/>
        <v>0.66735935876502894</v>
      </c>
      <c r="O88" s="2">
        <f t="shared" si="148"/>
        <v>0.66638127853881279</v>
      </c>
      <c r="P88" s="2">
        <f t="shared" ref="P88:R88" si="149">IFERROR((P25+P26)/P70,"")</f>
        <v>0.73704702006588796</v>
      </c>
      <c r="Q88" s="2">
        <f t="shared" si="149"/>
        <v>0.47444814030843663</v>
      </c>
      <c r="R88" s="2">
        <f t="shared" si="149"/>
        <v>0.60602310231023104</v>
      </c>
      <c r="S88" s="2">
        <f t="shared" ref="S88:T88" si="150">IFERROR((S25+S26)/S70,"")</f>
        <v>0.62649455084118078</v>
      </c>
      <c r="T88" s="2">
        <f t="shared" si="150"/>
        <v>0.62702991452991452</v>
      </c>
      <c r="U88" s="2">
        <f t="shared" ref="U88:Y88" si="151">IFERROR((U25+U26)/U70,"")</f>
        <v>0.63719974031594895</v>
      </c>
      <c r="V88" s="2">
        <f t="shared" si="151"/>
        <v>0.57308519592256613</v>
      </c>
      <c r="W88" s="2">
        <f t="shared" si="151"/>
        <v>0.63168664133294361</v>
      </c>
      <c r="X88" s="2">
        <f t="shared" si="151"/>
        <v>0.5907156967026288</v>
      </c>
      <c r="Y88" s="2">
        <f t="shared" si="151"/>
        <v>0.57748864423743163</v>
      </c>
      <c r="Z88" s="2">
        <f t="shared" ref="Z88:AA88" si="152">IFERROR((Z25+Z26)/Z70,"")</f>
        <v>0.46808343789209533</v>
      </c>
      <c r="AA88" s="2">
        <f t="shared" si="152"/>
        <v>0.39957633767456457</v>
      </c>
      <c r="AB88" s="2">
        <f t="shared" ref="AB88" si="153">IFERROR((AB25+AB26)/AB70,"")</f>
        <v>0.52164009111617315</v>
      </c>
    </row>
    <row r="89" spans="1:28" x14ac:dyDescent="0.3">
      <c r="A89" s="8" t="s">
        <v>142</v>
      </c>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3">
      <c r="A90" s="85" t="s">
        <v>143</v>
      </c>
      <c r="B90" s="25">
        <f>IFERROR(B72/'Annual Inc Statement Reported'!B28,"")</f>
        <v>2.8432692307692307</v>
      </c>
      <c r="C90" s="25">
        <f>IFERROR(C72/'Annual Inc Statement Reported'!C28,"")</f>
        <v>2.8665931642778388</v>
      </c>
      <c r="D90" s="25">
        <f>IFERROR(D72/'Annual Inc Statement Reported'!D28,"")</f>
        <v>2.7103139013452915</v>
      </c>
      <c r="E90" s="25">
        <f>IFERROR(E72/'Annual Inc Statement Reported'!E28,"")</f>
        <v>3.1094402673350041</v>
      </c>
      <c r="F90" s="25">
        <f>IFERROR(F72/'Annual Inc Statement Reported'!F28,"")</f>
        <v>2.578055964653903</v>
      </c>
      <c r="G90" s="25">
        <f>IFERROR(G72/'Annual Inc Statement Reported'!G28,"")</f>
        <v>1.761000463177397</v>
      </c>
      <c r="H90" s="25">
        <f>IFERROR(H72/'Annual Inc Statement Reported'!H28,"")</f>
        <v>1.5732682060390764</v>
      </c>
      <c r="I90" s="25">
        <f>IFERROR(I72/'Annual Inc Statement Reported'!M28,"")</f>
        <v>-1.9203166226912929</v>
      </c>
      <c r="J90" s="25" t="str">
        <f>IFERROR(J72/'Annual Inc Statement Reported'!N28,"")</f>
        <v/>
      </c>
      <c r="K90" s="25" t="str">
        <f>IFERROR(K72/'Annual Inc Statement Reported'!O28,"")</f>
        <v/>
      </c>
      <c r="L90" s="25" t="str">
        <f>IFERROR(L72/'Annual Inc Statement Reported'!P28,"")</f>
        <v/>
      </c>
      <c r="M90" s="25" t="str">
        <f>IFERROR(M72/'Annual Inc Statement Reported'!Q28,"")</f>
        <v/>
      </c>
      <c r="N90" s="25" t="str">
        <f>IFERROR(N72/'Annual Inc Statement Reported'!R28,"")</f>
        <v/>
      </c>
      <c r="O90" s="25" t="str">
        <f>IFERROR(O72/'Annual Inc Statement Reported'!S28,"")</f>
        <v/>
      </c>
      <c r="P90" s="25" t="str">
        <f>IFERROR(P72/'Annual Inc Statement Reported'!T28,"")</f>
        <v/>
      </c>
      <c r="Q90" s="25" t="str">
        <f>IFERROR(Q72/'Annual Inc Statement Reported'!U28,"")</f>
        <v/>
      </c>
      <c r="R90" s="25" t="str">
        <f>IFERROR(R72/'Annual Inc Statement Reported'!V28,"")</f>
        <v/>
      </c>
      <c r="S90" s="25" t="str">
        <f>IFERROR(S72/'Annual Inc Statement Reported'!W28,"")</f>
        <v/>
      </c>
      <c r="T90" s="25" t="str">
        <f>IFERROR(T72/'Annual Inc Statement Reported'!X28,"")</f>
        <v/>
      </c>
      <c r="U90" s="25" t="str">
        <f>IFERROR(U72/'Annual Inc Statement Reported'!Y28,"")</f>
        <v/>
      </c>
      <c r="V90" s="25" t="str">
        <f>IFERROR(V72/'Annual Inc Statement Reported'!Z28,"")</f>
        <v/>
      </c>
      <c r="W90" s="25" t="str">
        <f>IFERROR(W72/'Annual Inc Statement Reported'!AA28,"")</f>
        <v/>
      </c>
      <c r="X90" s="25" t="str">
        <f>IFERROR(X72/'Annual Inc Statement Reported'!AB28,"")</f>
        <v/>
      </c>
      <c r="Y90" s="25" t="str">
        <f>IFERROR(Y72/'Annual Inc Statement Reported'!AC28,"")</f>
        <v/>
      </c>
      <c r="Z90" s="25" t="str">
        <f>IFERROR(Z72/'Annual Inc Statement Reported'!AD28,"")</f>
        <v/>
      </c>
      <c r="AA90" s="25" t="str">
        <f>IFERROR(AA72/'Annual Inc Statement Reported'!AE28,"")</f>
        <v/>
      </c>
      <c r="AB90" s="25" t="str">
        <f>IFERROR(AB72/'Annual Inc Statement Reported'!AF28,"")</f>
        <v/>
      </c>
    </row>
    <row r="91" spans="1:28" x14ac:dyDescent="0.3">
      <c r="A91" s="85" t="s">
        <v>144</v>
      </c>
      <c r="B91" s="25">
        <f>IFERROR(B72/B66,"")</f>
        <v>-2.437757625721352</v>
      </c>
      <c r="C91" s="25">
        <f t="shared" ref="C91:K91" si="154">IFERROR(C72/C66,"")</f>
        <v>-6.7010309278350517</v>
      </c>
      <c r="D91" s="25">
        <f t="shared" si="154"/>
        <v>-59.254901960784316</v>
      </c>
      <c r="E91" s="25">
        <f t="shared" si="154"/>
        <v>93.05</v>
      </c>
      <c r="F91" s="25">
        <f t="shared" si="154"/>
        <v>-4.7827868852459012</v>
      </c>
      <c r="G91" s="25">
        <f t="shared" si="154"/>
        <v>-5.6493313521545323</v>
      </c>
      <c r="H91" s="25">
        <f t="shared" si="154"/>
        <v>22.006211180124225</v>
      </c>
      <c r="I91" s="25">
        <f t="shared" si="154"/>
        <v>2.9852337981952419</v>
      </c>
      <c r="J91" s="25">
        <f t="shared" si="154"/>
        <v>3.4162162162162164</v>
      </c>
      <c r="K91" s="25">
        <f t="shared" si="154"/>
        <v>2.2648287385129491</v>
      </c>
      <c r="L91" s="25">
        <f t="shared" ref="L91:O91" si="155">IFERROR(L72/L66,"")</f>
        <v>0.71535702641017285</v>
      </c>
      <c r="M91" s="25">
        <f t="shared" si="155"/>
        <v>0.68511393903521756</v>
      </c>
      <c r="N91" s="25">
        <f t="shared" si="155"/>
        <v>0.67765346235258539</v>
      </c>
      <c r="O91" s="25">
        <f t="shared" si="155"/>
        <v>0.59841310468390074</v>
      </c>
      <c r="P91" s="25">
        <f t="shared" ref="P91:R91" si="156">IFERROR(P72/P66,"")</f>
        <v>0.38593406593406593</v>
      </c>
      <c r="Q91" s="25">
        <f t="shared" si="156"/>
        <v>1.5910894110466891</v>
      </c>
      <c r="R91" s="25">
        <f t="shared" si="156"/>
        <v>1.1614472484037701</v>
      </c>
      <c r="S91" s="25">
        <f t="shared" ref="S91:T91" si="157">IFERROR(S72/S66,"")</f>
        <v>1.0487225193107546</v>
      </c>
      <c r="T91" s="25">
        <f t="shared" si="157"/>
        <v>0.86346772198862232</v>
      </c>
      <c r="U91" s="25">
        <f t="shared" ref="U91:Y91" si="158">IFERROR(U72/U66,"")</f>
        <v>0.76204545454545458</v>
      </c>
      <c r="V91" s="25">
        <f t="shared" si="158"/>
        <v>1.0713447547524055</v>
      </c>
      <c r="W91" s="25">
        <f t="shared" si="158"/>
        <v>2.4669603524229076</v>
      </c>
      <c r="X91" s="25">
        <f t="shared" si="158"/>
        <v>3.1411078717201164</v>
      </c>
      <c r="Y91" s="25">
        <f t="shared" si="158"/>
        <v>3.2</v>
      </c>
      <c r="Z91" s="25">
        <f t="shared" ref="Z91:AA91" si="159">IFERROR(Z72/Z66,"")</f>
        <v>7.5033185840707963</v>
      </c>
      <c r="AA91" s="25">
        <f t="shared" si="159"/>
        <v>13.263431542461005</v>
      </c>
      <c r="AB91" s="25">
        <f t="shared" ref="AB91" si="160">IFERROR(AB72/AB66,"")</f>
        <v>55.03448275862069</v>
      </c>
    </row>
    <row r="92" spans="1:28" x14ac:dyDescent="0.3">
      <c r="A92" s="85" t="s">
        <v>145</v>
      </c>
      <c r="B92" s="25">
        <f>IFERROR(B72/(B72+B66),"")</f>
        <v>1.6955275229357798</v>
      </c>
      <c r="C92" s="25">
        <f t="shared" ref="C92:K92" si="161">IFERROR(C72/(C72+C66),"")</f>
        <v>1.1754068716094033</v>
      </c>
      <c r="D92" s="25">
        <f t="shared" si="161"/>
        <v>1.0171659373948165</v>
      </c>
      <c r="E92" s="25">
        <f t="shared" si="161"/>
        <v>0.98936735778841045</v>
      </c>
      <c r="F92" s="25">
        <f t="shared" si="161"/>
        <v>1.2643553629469122</v>
      </c>
      <c r="G92" s="25">
        <f t="shared" si="161"/>
        <v>1.2150846915947586</v>
      </c>
      <c r="H92" s="25">
        <f t="shared" si="161"/>
        <v>0.95653347732181426</v>
      </c>
      <c r="I92" s="25">
        <f t="shared" si="161"/>
        <v>0.74907369287772751</v>
      </c>
      <c r="J92" s="25">
        <f t="shared" si="161"/>
        <v>0.77356181150550796</v>
      </c>
      <c r="K92" s="25">
        <f t="shared" si="161"/>
        <v>0.69370522006141244</v>
      </c>
      <c r="L92" s="25">
        <f t="shared" ref="L92:O92" si="162">IFERROR(L72/(L72+L66),"")</f>
        <v>0.41703098270290817</v>
      </c>
      <c r="M92" s="25">
        <f t="shared" si="162"/>
        <v>0.40656831752722161</v>
      </c>
      <c r="N92" s="25">
        <f t="shared" si="162"/>
        <v>0.40392934390771451</v>
      </c>
      <c r="O92" s="25">
        <f t="shared" si="162"/>
        <v>0.3743795036028823</v>
      </c>
      <c r="P92" s="25">
        <f t="shared" ref="P92:R92" si="163">IFERROR(P72/(P72+P66),"")</f>
        <v>0.27846495401205201</v>
      </c>
      <c r="Q92" s="25">
        <f t="shared" si="163"/>
        <v>0.61406194794488278</v>
      </c>
      <c r="R92" s="25">
        <f t="shared" si="163"/>
        <v>0.53734702489801656</v>
      </c>
      <c r="S92" s="25">
        <f t="shared" ref="S92:T92" si="164">IFERROR(S72/(S72+S66),"")</f>
        <v>0.51189095127610207</v>
      </c>
      <c r="T92" s="25">
        <f t="shared" si="164"/>
        <v>0.46336607379877887</v>
      </c>
      <c r="U92" s="25">
        <f t="shared" ref="U92:Y92" si="165">IFERROR(U72/(U72+U66),"")</f>
        <v>0.43247775054817489</v>
      </c>
      <c r="V92" s="25">
        <f t="shared" si="165"/>
        <v>0.5172218445501926</v>
      </c>
      <c r="W92" s="25">
        <f t="shared" si="165"/>
        <v>0.71156289707750953</v>
      </c>
      <c r="X92" s="25">
        <f t="shared" si="165"/>
        <v>0.75851872711912138</v>
      </c>
      <c r="Y92" s="25">
        <f t="shared" si="165"/>
        <v>0.76190476190476186</v>
      </c>
      <c r="Z92" s="25">
        <f t="shared" ref="Z92:AA92" si="166">IFERROR(Z72/(Z72+Z66),"")</f>
        <v>0.88239885521009498</v>
      </c>
      <c r="AA92" s="25">
        <f t="shared" si="166"/>
        <v>0.92989064398541921</v>
      </c>
      <c r="AB92" s="25">
        <f t="shared" ref="AB92" si="167">IFERROR(AB72/(AB72+AB66),"")</f>
        <v>0.98215384615384616</v>
      </c>
    </row>
    <row r="93" spans="1:28" s="11" customFormat="1" x14ac:dyDescent="0.3">
      <c r="A93" s="14" t="s">
        <v>146</v>
      </c>
      <c r="B93" s="257">
        <f ca="1">IFERROR(IF(Inputs!$E$14 = "Quarterly", IF(YEAR(B3)=Inputs!$E$17, B75/AVERAGE('Annual Inc Statement Reported'!$F$26,'Annual Inc Statement Reported'!$G$26), B75/SUM(OFFSET('Interim Inc Statement Reported'!B26,0,-3,,4))),IF(B3&lt;=DATE(Inputs!$E$17,Inputs!$E$15,Inputs!$E$16), B75/AVERAGE('Annual Inc Statement Reported'!$F$26,'Annual Inc Statement Reported'!$G$26), B75/SUM(OFFSET('Interim Inc Statement Reported'!B26,0,-1,,2)))),"")</f>
        <v>2.528328950513985</v>
      </c>
      <c r="C93" s="257">
        <f ca="1">IFERROR(IF(Inputs!$E$14 = "Quarterly", IF(YEAR(C3)=Inputs!$E$17, C75/AVERAGE('Annual Inc Statement Reported'!$F$26,'Annual Inc Statement Reported'!$G$26), C75/SUM(OFFSET('Interim Inc Statement Reported'!C26,0,-3,,4))),IF(C3&lt;=DATE(Inputs!$E$17,Inputs!$E$15,Inputs!$E$16), C75/AVERAGE('Annual Inc Statement Reported'!$F$26,'Annual Inc Statement Reported'!$G$26), C75/SUM(OFFSET('Interim Inc Statement Reported'!C26,0,-1,,2)))),"")</f>
        <v>2.3576380588094668</v>
      </c>
      <c r="D93" s="257">
        <f ca="1">IFERROR(IF(Inputs!$E$14 = "Quarterly", IF(YEAR(D3)=Inputs!$E$17, D75/AVERAGE('Annual Inc Statement Reported'!$F$26,'Annual Inc Statement Reported'!$G$26), D75/SUM(OFFSET('Interim Inc Statement Reported'!D26,0,-3,,4))),IF(D3&lt;=DATE(Inputs!$E$17,Inputs!$E$15,Inputs!$E$16), D75/AVERAGE('Annual Inc Statement Reported'!$F$26,'Annual Inc Statement Reported'!$G$26), D75/SUM(OFFSET('Interim Inc Statement Reported'!D26,0,-1,,2)))),"")</f>
        <v>2.5594071240736316</v>
      </c>
      <c r="E93" s="257">
        <f ca="1">IFERROR(IF(Inputs!$E$14 = "Quarterly", IF(YEAR(E3)=Inputs!$E$17, E75/AVERAGE('Annual Inc Statement Reported'!$F$26,'Annual Inc Statement Reported'!$G$26), E75/SUM(OFFSET('Interim Inc Statement Reported'!E26,0,-3,,4))),IF(E3&lt;=DATE(Inputs!$E$17,Inputs!$E$15,Inputs!$E$16), E75/AVERAGE('Annual Inc Statement Reported'!$F$26,'Annual Inc Statement Reported'!$G$26), E75/SUM(OFFSET('Interim Inc Statement Reported'!E26,0,-1,,2)))),"")</f>
        <v>2.8940951470236671</v>
      </c>
      <c r="F93" s="257">
        <f ca="1">IFERROR(IF(Inputs!$E$14 = "Quarterly", IF(YEAR(F3)=Inputs!$E$17, F75/AVERAGE('Annual Inc Statement Reported'!$F$26,'Annual Inc Statement Reported'!$G$26), F75/SUM(OFFSET('Interim Inc Statement Reported'!F26,0,-3,,4))),IF(F3&lt;=DATE(Inputs!$E$17,Inputs!$E$15,Inputs!$E$16), F75/AVERAGE('Annual Inc Statement Reported'!$F$26,'Annual Inc Statement Reported'!$G$26), F75/SUM(OFFSET('Interim Inc Statement Reported'!F26,0,-1,,2)))),"")</f>
        <v>2.4483168316831683</v>
      </c>
      <c r="G93" s="257">
        <f ca="1">IFERROR(IF(Inputs!$E$14 = "Quarterly", IF(YEAR(G3)=Inputs!$E$17, G75/AVERAGE('Annual Inc Statement Reported'!$F$26,'Annual Inc Statement Reported'!$G$26), G75/SUM(OFFSET('Interim Inc Statement Reported'!G26,0,-3,,4))),IF(G3&lt;=DATE(Inputs!$E$17,Inputs!$E$15,Inputs!$E$16), G75/AVERAGE('Annual Inc Statement Reported'!$F$26,'Annual Inc Statement Reported'!$G$26), G75/SUM(OFFSET('Interim Inc Statement Reported'!G26,0,-1,,2)))),"")</f>
        <v>2.6140900195694718</v>
      </c>
      <c r="H93" s="257">
        <f ca="1">IFERROR(IF(Inputs!$E$14 = "Quarterly", IF(YEAR(H3)=Inputs!$E$17, H75/AVERAGE('Annual Inc Statement Reported'!$F$26,'Annual Inc Statement Reported'!$G$26), H75/SUM(OFFSET('Interim Inc Statement Reported'!H26,0,-3,,4))),IF(H3&lt;=DATE(Inputs!$E$17,Inputs!$E$15,Inputs!$E$16), H75/AVERAGE('Annual Inc Statement Reported'!$F$26,'Annual Inc Statement Reported'!$G$26), H75/SUM(OFFSET('Interim Inc Statement Reported'!H26,0,-1,,2)))),"")</f>
        <v>2.4349264705882354</v>
      </c>
      <c r="I93" s="257">
        <f ca="1">IFERROR(IF(Inputs!$E$14 = "Quarterly", IF(YEAR(I3)=Inputs!$E$17, I75/AVERAGE('Annual Inc Statement Reported'!$F$26,'Annual Inc Statement Reported'!$G$26), I75/SUM(OFFSET('Interim Inc Statement Reported'!I26,0,-3,,4))),IF(I3&lt;=DATE(Inputs!$E$17,Inputs!$E$15,Inputs!$E$16), I75/AVERAGE('Annual Inc Statement Reported'!$F$26,'Annual Inc Statement Reported'!$G$26), I75/SUM(OFFSET('Interim Inc Statement Reported'!I26,0,-1,,2)))),"")</f>
        <v>2.5324244657332349</v>
      </c>
      <c r="J93" s="257">
        <f ca="1">IFERROR(IF(Inputs!$E$14 = "Quarterly", IF(YEAR(J3)=Inputs!$E$17, J75/AVERAGE('Annual Inc Statement Reported'!$F$26,'Annual Inc Statement Reported'!$G$26), J75/SUM(OFFSET('Interim Inc Statement Reported'!J26,0,-3,,4))),IF(J3&lt;=DATE(Inputs!$E$17,Inputs!$E$15,Inputs!$E$16), J75/AVERAGE('Annual Inc Statement Reported'!$F$26,'Annual Inc Statement Reported'!$G$26), J75/SUM(OFFSET('Interim Inc Statement Reported'!J26,0,-1,,2)))),"")</f>
        <v>2.4938271604938271</v>
      </c>
      <c r="K93" s="257">
        <f ca="1">IFERROR(IF(Inputs!$E$14 = "Quarterly", IF(YEAR(K3)=Inputs!$E$17, K75/AVERAGE('Annual Inc Statement Reported'!$F$26,'Annual Inc Statement Reported'!$G$26), K75/SUM(OFFSET('Interim Inc Statement Reported'!K26,0,-3,,4))),IF(K3&lt;=DATE(Inputs!$E$17,Inputs!$E$15,Inputs!$E$16), K75/AVERAGE('Annual Inc Statement Reported'!$F$26,'Annual Inc Statement Reported'!$G$26), K75/SUM(OFFSET('Interim Inc Statement Reported'!K26,0,-1,,2)))),"")</f>
        <v>2.3138658628485307</v>
      </c>
      <c r="L93" s="257">
        <f ca="1">IFERROR(IF(Inputs!$E$14 = "Quarterly", IF(YEAR(L3)=Inputs!$E$17, L75/AVERAGE('Annual Inc Statement Reported'!$F$26,'Annual Inc Statement Reported'!$G$26), L75/SUM(OFFSET('Interim Inc Statement Reported'!L26,0,-3,,4))),IF(L3&lt;=DATE(Inputs!$E$17,Inputs!$E$15,Inputs!$E$16), L75/AVERAGE('Annual Inc Statement Reported'!$F$26,'Annual Inc Statement Reported'!$G$26), L75/SUM(OFFSET('Interim Inc Statement Reported'!L26,0,-1,,2)))),"")</f>
        <v>2.0131298793470545</v>
      </c>
      <c r="M93" s="257">
        <f ca="1">IFERROR(IF(Inputs!$E$14 = "Quarterly", IF(YEAR(M3)=Inputs!$E$17, M75/AVERAGE('Annual Inc Statement Reported'!$F$26,'Annual Inc Statement Reported'!$G$26), M75/SUM(OFFSET('Interim Inc Statement Reported'!M26,0,-3,,4))),IF(M3&lt;=DATE(Inputs!$E$17,Inputs!$E$15,Inputs!$E$16), M75/AVERAGE('Annual Inc Statement Reported'!$F$26,'Annual Inc Statement Reported'!$G$26), M75/SUM(OFFSET('Interim Inc Statement Reported'!M26,0,-1,,2)))),"")</f>
        <v>2.0256855258590769</v>
      </c>
      <c r="N93" s="257">
        <f ca="1">IFERROR(IF(Inputs!$E$14 = "Quarterly", IF(YEAR(N3)=Inputs!$E$17, N75/AVERAGE('Annual Inc Statement Reported'!$F$26,'Annual Inc Statement Reported'!$G$26), N75/SUM(OFFSET('Interim Inc Statement Reported'!N26,0,-3,,4))),IF(N3&lt;=DATE(Inputs!$E$17,Inputs!$E$15,Inputs!$E$16), N75/AVERAGE('Annual Inc Statement Reported'!$F$26,'Annual Inc Statement Reported'!$G$26), N75/SUM(OFFSET('Interim Inc Statement Reported'!N26,0,-1,,2)))),"")</f>
        <v>1.9717013296965564</v>
      </c>
      <c r="O93" s="257">
        <f ca="1">IFERROR(IF(Inputs!$E$14 = "Quarterly", IF(YEAR(O3)=Inputs!$E$17, O75/AVERAGE('Annual Inc Statement Reported'!$F$26,'Annual Inc Statement Reported'!$G$26), O75/SUM(OFFSET('Interim Inc Statement Reported'!O26,0,-3,,4))),IF(O3&lt;=DATE(Inputs!$E$17,Inputs!$E$15,Inputs!$E$16), O75/AVERAGE('Annual Inc Statement Reported'!$F$26,'Annual Inc Statement Reported'!$G$26), O75/SUM(OFFSET('Interim Inc Statement Reported'!O26,0,-1,,2)))),"")</f>
        <v>2.0058479532163744</v>
      </c>
      <c r="P93" s="257">
        <f ca="1">IFERROR(IF(Inputs!$E$14 = "Quarterly", IF(YEAR(P3)=Inputs!$E$17, P75/AVERAGE('Annual Inc Statement Reported'!$F$26,'Annual Inc Statement Reported'!$G$26), P75/SUM(OFFSET('Interim Inc Statement Reported'!P26,0,-3,,4))),IF(P3&lt;=DATE(Inputs!$E$17,Inputs!$E$15,Inputs!$E$16), P75/AVERAGE('Annual Inc Statement Reported'!$F$26,'Annual Inc Statement Reported'!$G$26), P75/SUM(OFFSET('Interim Inc Statement Reported'!P26,0,-1,,2)))),"")</f>
        <v>1.9364560639070443</v>
      </c>
      <c r="Q93" s="257">
        <f ca="1">IFERROR(IF(Inputs!$E$14 = "Quarterly", IF(YEAR(Q3)=Inputs!$E$17, Q75/AVERAGE('Annual Inc Statement Reported'!$F$26,'Annual Inc Statement Reported'!$G$26), Q75/SUM(OFFSET('Interim Inc Statement Reported'!Q26,0,-3,,4))),IF(Q3&lt;=DATE(Inputs!$E$17,Inputs!$E$15,Inputs!$E$16), Q75/AVERAGE('Annual Inc Statement Reported'!$F$26,'Annual Inc Statement Reported'!$G$26), Q75/SUM(OFFSET('Interim Inc Statement Reported'!Q26,0,-1,,2)))),"")</f>
        <v>3.1890331890331889</v>
      </c>
      <c r="R93" s="257">
        <f ca="1">IFERROR(IF(Inputs!$E$14 = "Quarterly", IF(YEAR(R3)=Inputs!$E$17, R75/AVERAGE('Annual Inc Statement Reported'!$F$26,'Annual Inc Statement Reported'!$G$26), R75/SUM(OFFSET('Interim Inc Statement Reported'!R26,0,-3,,4))),IF(R3&lt;=DATE(Inputs!$E$17,Inputs!$E$15,Inputs!$E$16), R75/AVERAGE('Annual Inc Statement Reported'!$F$26,'Annual Inc Statement Reported'!$G$26), R75/SUM(OFFSET('Interim Inc Statement Reported'!R26,0,-1,,2)))),"")</f>
        <v>1.2831709774941216</v>
      </c>
      <c r="S93" s="257">
        <f ca="1">IFERROR(IF(Inputs!$E$14 = "Quarterly", IF(YEAR(S3)=Inputs!$E$17, S75/AVERAGE('Annual Inc Statement Reported'!$F$26,'Annual Inc Statement Reported'!$G$26), S75/SUM(OFFSET('Interim Inc Statement Reported'!S26,0,-3,,4))),IF(S3&lt;=DATE(Inputs!$E$17,Inputs!$E$15,Inputs!$E$16), S75/AVERAGE('Annual Inc Statement Reported'!$F$26,'Annual Inc Statement Reported'!$G$26), S75/SUM(OFFSET('Interim Inc Statement Reported'!S26,0,-1,,2)))),"")</f>
        <v>1.0808328230251072</v>
      </c>
      <c r="T93" s="257">
        <f ca="1">IFERROR(IF(Inputs!$E$14 = "Quarterly", IF(YEAR(T3)=Inputs!$E$17, T75/AVERAGE('Annual Inc Statement Reported'!$F$26,'Annual Inc Statement Reported'!$G$26), T75/SUM(OFFSET('Interim Inc Statement Reported'!T26,0,-3,,4))),IF(T3&lt;=DATE(Inputs!$E$17,Inputs!$E$15,Inputs!$E$16), T75/AVERAGE('Annual Inc Statement Reported'!$F$26,'Annual Inc Statement Reported'!$G$26), T75/SUM(OFFSET('Interim Inc Statement Reported'!T26,0,-1,,2)))),"")</f>
        <v>0.99942742628113368</v>
      </c>
      <c r="U93" s="257">
        <f ca="1">IFERROR(IF(Inputs!$E$14 = "Quarterly", IF(YEAR(U3)=Inputs!$E$17, U75/AVERAGE('Annual Inc Statement Reported'!$F$26,'Annual Inc Statement Reported'!$G$26), U75/SUM(OFFSET('Interim Inc Statement Reported'!U26,0,-3,,4))),IF(U3&lt;=DATE(Inputs!$E$17,Inputs!$E$15,Inputs!$E$16), U75/AVERAGE('Annual Inc Statement Reported'!$F$26,'Annual Inc Statement Reported'!$G$26), U75/SUM(OFFSET('Interim Inc Statement Reported'!U26,0,-1,,2)))),"")</f>
        <v>0.92216721672167212</v>
      </c>
      <c r="V93" s="257">
        <f ca="1">IFERROR(IF(Inputs!$E$14 = "Quarterly", IF(YEAR(V3)=Inputs!$E$17, V75/AVERAGE('Annual Inc Statement Reported'!$F$26,'Annual Inc Statement Reported'!$G$26), V75/SUM(OFFSET('Interim Inc Statement Reported'!V26,0,-3,,4))),IF(V3&lt;=DATE(Inputs!$E$17,Inputs!$E$15,Inputs!$E$16), V75/AVERAGE('Annual Inc Statement Reported'!$F$26,'Annual Inc Statement Reported'!$G$26), V75/SUM(OFFSET('Interim Inc Statement Reported'!V26,0,-1,,2)))),"")</f>
        <v>1.4612676056338028</v>
      </c>
      <c r="W93" s="257">
        <f ca="1">IFERROR(IF(Inputs!$E$14 = "Quarterly", IF(YEAR(W3)=Inputs!$E$17, W75/AVERAGE('Annual Inc Statement Reported'!$F$26,'Annual Inc Statement Reported'!$G$26), W75/SUM(OFFSET('Interim Inc Statement Reported'!W26,0,-3,,4))),IF(W3&lt;=DATE(Inputs!$E$17,Inputs!$E$15,Inputs!$E$16), W75/AVERAGE('Annual Inc Statement Reported'!$F$26,'Annual Inc Statement Reported'!$G$26), W75/SUM(OFFSET('Interim Inc Statement Reported'!W26,0,-1,,2)))),"")</f>
        <v>3.4379263301500682</v>
      </c>
      <c r="X93" s="257">
        <f ca="1">IFERROR(IF(Inputs!$E$14 = "Quarterly", IF(YEAR(X3)=Inputs!$E$17, X75/AVERAGE('Annual Inc Statement Reported'!$F$26,'Annual Inc Statement Reported'!$G$26), X75/SUM(OFFSET('Interim Inc Statement Reported'!X26,0,-3,,4))),IF(X3&lt;=DATE(Inputs!$E$17,Inputs!$E$15,Inputs!$E$16), X75/AVERAGE('Annual Inc Statement Reported'!$F$26,'Annual Inc Statement Reported'!$G$26), X75/SUM(OFFSET('Interim Inc Statement Reported'!X26,0,-1,,2)))),"")</f>
        <v>-14.520215633423181</v>
      </c>
      <c r="Y93" s="257">
        <f ca="1">IFERROR(IF(Inputs!$E$14 = "Quarterly", IF(YEAR(Y3)=Inputs!$E$17, Y75/AVERAGE('Annual Inc Statement Reported'!$F$26,'Annual Inc Statement Reported'!$G$26), Y75/SUM(OFFSET('Interim Inc Statement Reported'!Y26,0,-3,,4))),IF(Y3&lt;=DATE(Inputs!$E$17,Inputs!$E$15,Inputs!$E$16), Y75/AVERAGE('Annual Inc Statement Reported'!$F$26,'Annual Inc Statement Reported'!$G$26), Y75/SUM(OFFSET('Interim Inc Statement Reported'!Y26,0,-1,,2)))),"")</f>
        <v>-3.3960396039603959</v>
      </c>
      <c r="Z93" s="257">
        <f ca="1">IFERROR(IF(Inputs!$E$14 = "Quarterly", IF(YEAR(Z3)=Inputs!$E$17, Z75/AVERAGE('Annual Inc Statement Reported'!$F$26,'Annual Inc Statement Reported'!$G$26), Z75/SUM(OFFSET('Interim Inc Statement Reported'!Z26,0,-3,,4))),IF(Z3&lt;=DATE(Inputs!$E$17,Inputs!$E$15,Inputs!$E$16), Z75/AVERAGE('Annual Inc Statement Reported'!$F$26,'Annual Inc Statement Reported'!$G$26), Z75/SUM(OFFSET('Interim Inc Statement Reported'!Z26,0,-1,,2)))),"")</f>
        <v>-2.9452887537993919</v>
      </c>
      <c r="AA93" s="257">
        <f ca="1">IFERROR(IF(Inputs!$E$14 = "Quarterly", IF(YEAR(AA3)=Inputs!$E$17, AA75/AVERAGE('Annual Inc Statement Reported'!$F$26,'Annual Inc Statement Reported'!$G$26), AA75/SUM(OFFSET('Interim Inc Statement Reported'!AA26,0,-3,,4))),IF(AA3&lt;=DATE(Inputs!$E$17,Inputs!$E$15,Inputs!$E$16), AA75/AVERAGE('Annual Inc Statement Reported'!$F$26,'Annual Inc Statement Reported'!$G$26), AA75/SUM(OFFSET('Interim Inc Statement Reported'!AA26,0,-1,,2)))),"")</f>
        <v>-3.3507005253940454</v>
      </c>
      <c r="AB93" s="257">
        <f ca="1">IFERROR(IF(Inputs!$E$14 = "Quarterly", IF(YEAR(AB3)=Inputs!$E$17, AB75/AVERAGE('Annual Inc Statement Reported'!$F$26,'Annual Inc Statement Reported'!$G$26), AB75/SUM(OFFSET('Interim Inc Statement Reported'!AB26,0,-3,,4))),IF(AB3&lt;=DATE(Inputs!$E$17,Inputs!$E$15,Inputs!$E$16), AB75/AVERAGE('Annual Inc Statement Reported'!$F$26,'Annual Inc Statement Reported'!$G$26), AB75/SUM(OFFSET('Interim Inc Statement Reported'!AB26,0,-1,,2)))),"")</f>
        <v>-4.211081794195251</v>
      </c>
    </row>
    <row r="94" spans="1:28" x14ac:dyDescent="0.3">
      <c r="A94" s="85" t="s">
        <v>147</v>
      </c>
      <c r="B94" s="25">
        <f ca="1">IFERROR(B75/B66,"")</f>
        <v>-4.3594394064303383</v>
      </c>
      <c r="C94" s="25">
        <f t="shared" ref="C94:K94" ca="1" si="168">IFERROR(C75/C66,"")</f>
        <v>-12.708762886597938</v>
      </c>
      <c r="D94" s="25">
        <f t="shared" ca="1" si="168"/>
        <v>-104.96078431372548</v>
      </c>
      <c r="E94" s="25">
        <f t="shared" ca="1" si="168"/>
        <v>151.32499999999999</v>
      </c>
      <c r="F94" s="25">
        <f t="shared" ca="1" si="168"/>
        <v>-8.4453551912568301</v>
      </c>
      <c r="G94" s="25">
        <f t="shared" ca="1" si="168"/>
        <v>-9.9242199108469542</v>
      </c>
      <c r="H94" s="25">
        <f t="shared" ca="1" si="168"/>
        <v>41.136645962732921</v>
      </c>
      <c r="I94" s="25">
        <f t="shared" ca="1" si="168"/>
        <v>5.6382280557834292</v>
      </c>
      <c r="J94" s="25">
        <f t="shared" ca="1" si="168"/>
        <v>6.9881081081081078</v>
      </c>
      <c r="K94" s="25">
        <f t="shared" ca="1" si="168"/>
        <v>5.1303258145363406</v>
      </c>
      <c r="L94" s="25">
        <f t="shared" ref="L94:O94" ca="1" si="169">IFERROR(L75/L66,"")</f>
        <v>1.8496902510596673</v>
      </c>
      <c r="M94" s="25">
        <f t="shared" ca="1" si="169"/>
        <v>1.7271382065699912</v>
      </c>
      <c r="N94" s="25">
        <f t="shared" ca="1" si="169"/>
        <v>1.7487148472936196</v>
      </c>
      <c r="O94" s="25">
        <f t="shared" ca="1" si="169"/>
        <v>1.4924494497056564</v>
      </c>
      <c r="P94" s="25">
        <f t="shared" ref="P94:R94" ca="1" si="170">IFERROR(P75/P66,"")</f>
        <v>1.1720879120879122</v>
      </c>
      <c r="Q94" s="25">
        <f t="shared" ca="1" si="170"/>
        <v>2.6975892584681112</v>
      </c>
      <c r="R94" s="25">
        <f t="shared" si="170"/>
        <v>1.1614472484037701</v>
      </c>
      <c r="S94" s="25">
        <f t="shared" ref="S94:T94" si="171">IFERROR(S75/S66,"")</f>
        <v>1.0487225193107546</v>
      </c>
      <c r="T94" s="25">
        <f t="shared" si="171"/>
        <v>0.86346772198862232</v>
      </c>
      <c r="U94" s="25">
        <f t="shared" ref="U94:Y94" si="172">IFERROR(U75/U66,"")</f>
        <v>0.76204545454545458</v>
      </c>
      <c r="V94" s="25">
        <f t="shared" si="172"/>
        <v>1.0713447547524055</v>
      </c>
      <c r="W94" s="25">
        <f t="shared" si="172"/>
        <v>2.4669603524229076</v>
      </c>
      <c r="X94" s="25">
        <f t="shared" si="172"/>
        <v>3.1411078717201164</v>
      </c>
      <c r="Y94" s="25">
        <f t="shared" si="172"/>
        <v>3.2</v>
      </c>
      <c r="Z94" s="25">
        <f t="shared" ref="Z94:AA94" si="173">IFERROR(Z75/Z66,"")</f>
        <v>7.5033185840707963</v>
      </c>
      <c r="AA94" s="25">
        <f t="shared" si="173"/>
        <v>13.263431542461005</v>
      </c>
      <c r="AB94" s="25">
        <f t="shared" ref="AB94" si="174">IFERROR(AB75/AB66,"")</f>
        <v>55.03448275862069</v>
      </c>
    </row>
    <row r="95" spans="1:28" s="27" customFormat="1" x14ac:dyDescent="0.3">
      <c r="A95" s="233" t="s">
        <v>148</v>
      </c>
      <c r="B95" s="25">
        <f ca="1">IFERROR(B75/(B66-B16),"")</f>
        <v>-2.8911973756150902</v>
      </c>
      <c r="C95" s="25">
        <f t="shared" ref="C95:K95" ca="1" si="175">IFERROR(C75/(C66-C16),"")</f>
        <v>-4.8967229394240315</v>
      </c>
      <c r="D95" s="25">
        <f t="shared" ca="1" si="175"/>
        <v>-7.9657738095238093</v>
      </c>
      <c r="E95" s="25">
        <f t="shared" ca="1" si="175"/>
        <v>-10.347008547008548</v>
      </c>
      <c r="F95" s="25">
        <f t="shared" ca="1" si="175"/>
        <v>-4.5623616236162361</v>
      </c>
      <c r="G95" s="25">
        <f t="shared" ca="1" si="175"/>
        <v>-5.1575289575289576</v>
      </c>
      <c r="H95" s="25">
        <f t="shared" ca="1" si="175"/>
        <v>-14.335497835497835</v>
      </c>
      <c r="I95" s="25">
        <f t="shared" ca="1" si="175"/>
        <v>11.590219224283306</v>
      </c>
      <c r="J95" s="25">
        <f t="shared" ca="1" si="175"/>
        <v>21.403973509933774</v>
      </c>
      <c r="K95" s="25">
        <f t="shared" ca="1" si="175"/>
        <v>10.642980935875217</v>
      </c>
      <c r="L95" s="25">
        <f t="shared" ref="L95:O95" ca="1" si="176">IFERROR(L75/(L66-L16),"")</f>
        <v>2.3221449038067949</v>
      </c>
      <c r="M95" s="25">
        <f t="shared" ca="1" si="176"/>
        <v>2.1221818181818182</v>
      </c>
      <c r="N95" s="25">
        <f t="shared" ca="1" si="176"/>
        <v>2.1716109650769808</v>
      </c>
      <c r="O95" s="25">
        <f t="shared" ca="1" si="176"/>
        <v>1.7963647566235366</v>
      </c>
      <c r="P95" s="25">
        <f t="shared" ref="P95:R95" ca="1" si="177">IFERROR(P75/(P66-P16),"")</f>
        <v>1.3787487073422957</v>
      </c>
      <c r="Q95" s="25">
        <f t="shared" ca="1" si="177"/>
        <v>3.4504293520686962</v>
      </c>
      <c r="R95" s="25">
        <f t="shared" si="177"/>
        <v>-5.1621621621621623</v>
      </c>
      <c r="S95" s="25">
        <f t="shared" ref="S95:T95" si="178">IFERROR(S75/(S66-S16),"")</f>
        <v>-4.5725388601036272</v>
      </c>
      <c r="T95" s="25">
        <f t="shared" si="178"/>
        <v>-20.179190751445088</v>
      </c>
      <c r="U95" s="25">
        <f t="shared" ref="U95:Y95" si="179">IFERROR(U75/(U66-U16),"")</f>
        <v>26.824000000000002</v>
      </c>
      <c r="V95" s="25">
        <f t="shared" si="179"/>
        <v>-70.230769230769226</v>
      </c>
      <c r="W95" s="25">
        <f t="shared" si="179"/>
        <v>-2.192257503262288</v>
      </c>
      <c r="X95" s="25">
        <f t="shared" si="179"/>
        <v>-2.0160928143712575</v>
      </c>
      <c r="Y95" s="25">
        <f t="shared" si="179"/>
        <v>-2.038632986627043</v>
      </c>
      <c r="Z95" s="25">
        <f t="shared" ref="Z95:AA95" si="180">IFERROR(Z75/(Z66-Z16),"")</f>
        <v>-1.9391080617495713</v>
      </c>
      <c r="AA95" s="25">
        <f t="shared" si="180"/>
        <v>-2.0107724645296901</v>
      </c>
      <c r="AB95" s="25">
        <f t="shared" ref="AB95" si="181">IFERROR(AB75/(AB66-AB16),"")</f>
        <v>-1.8896519062278001</v>
      </c>
    </row>
    <row r="96" spans="1:28" x14ac:dyDescent="0.3">
      <c r="A96" s="85" t="s">
        <v>149</v>
      </c>
      <c r="B96" s="25">
        <f ca="1">IFERROR(B75/(B66+B75),"")</f>
        <v>1.2976687116564418</v>
      </c>
      <c r="C96" s="25">
        <f t="shared" ref="C96:K96" ca="1" si="182">IFERROR(C75/(C66+C75),"")</f>
        <v>1.0854061193044244</v>
      </c>
      <c r="D96" s="25">
        <f t="shared" ca="1" si="182"/>
        <v>1.0096190116937005</v>
      </c>
      <c r="E96" s="25">
        <f t="shared" ca="1" si="182"/>
        <v>0.99343508944690628</v>
      </c>
      <c r="F96" s="25">
        <f t="shared" ca="1" si="182"/>
        <v>1.1343119266055046</v>
      </c>
      <c r="G96" s="25">
        <f t="shared" ca="1" si="182"/>
        <v>1.112054612054612</v>
      </c>
      <c r="H96" s="25">
        <f t="shared" ca="1" si="182"/>
        <v>0.97626768867924529</v>
      </c>
      <c r="I96" s="25">
        <f t="shared" ca="1" si="182"/>
        <v>0.84935739001482946</v>
      </c>
      <c r="J96" s="25">
        <f t="shared" ca="1" si="182"/>
        <v>0.87481391257274321</v>
      </c>
      <c r="K96" s="25">
        <f t="shared" ca="1" si="182"/>
        <v>0.83687653311529031</v>
      </c>
      <c r="L96" s="25">
        <f t="shared" ref="L96:O96" ca="1" si="183">IFERROR(L75/(L66+L75),"")</f>
        <v>0.64908466819221966</v>
      </c>
      <c r="M96" s="25">
        <f t="shared" ca="1" si="183"/>
        <v>0.63331524688008678</v>
      </c>
      <c r="N96" s="25">
        <f t="shared" ca="1" si="183"/>
        <v>0.63619361936193619</v>
      </c>
      <c r="O96" s="25">
        <f t="shared" ca="1" si="183"/>
        <v>0.59878825220784559</v>
      </c>
      <c r="P96" s="25">
        <f t="shared" ref="P96:R96" ca="1" si="184">IFERROR(P75/(P66+P75),"")</f>
        <v>0.53961347768896084</v>
      </c>
      <c r="Q96" s="25">
        <f t="shared" ca="1" si="184"/>
        <v>0.7295535198481472</v>
      </c>
      <c r="R96" s="25">
        <f t="shared" si="184"/>
        <v>0.53734702489801656</v>
      </c>
      <c r="S96" s="25">
        <f t="shared" ref="S96:T96" si="185">IFERROR(S75/(S66+S75),"")</f>
        <v>0.51189095127610207</v>
      </c>
      <c r="T96" s="25">
        <f t="shared" si="185"/>
        <v>0.46336607379877887</v>
      </c>
      <c r="U96" s="25">
        <f t="shared" ref="U96:Y96" si="186">IFERROR(U75/(U66+U75),"")</f>
        <v>0.43247775054817489</v>
      </c>
      <c r="V96" s="25">
        <f t="shared" si="186"/>
        <v>0.5172218445501926</v>
      </c>
      <c r="W96" s="25">
        <f t="shared" si="186"/>
        <v>0.71156289707750953</v>
      </c>
      <c r="X96" s="25">
        <f t="shared" si="186"/>
        <v>0.75851872711912138</v>
      </c>
      <c r="Y96" s="25">
        <f t="shared" si="186"/>
        <v>0.76190476190476186</v>
      </c>
      <c r="Z96" s="25">
        <f t="shared" ref="Z96:AA96" si="187">IFERROR(Z75/(Z66+Z75),"")</f>
        <v>0.88239885521009498</v>
      </c>
      <c r="AA96" s="25">
        <f t="shared" si="187"/>
        <v>0.92989064398541921</v>
      </c>
      <c r="AB96" s="25">
        <f t="shared" ref="AB96" si="188">IFERROR(AB75/(AB66+AB75),"")</f>
        <v>0.98215384615384616</v>
      </c>
    </row>
    <row r="97" spans="1:28" x14ac:dyDescent="0.3">
      <c r="A97" s="85" t="s">
        <v>150</v>
      </c>
      <c r="B97" s="25">
        <f ca="1">IFERROR(IF(Inputs!$E$14 = "Quarterly", IF(YEAR(B3)=Inputs!$E$17, B75/AVERAGE('Annual Inc Statement Reported'!$F$13,'Annual Inc Statement Reported'!$G$13), B75/SUM(OFFSET('Interim Inc Statement Reported'!B13,0,-3,,4))), IF(B3= DATE(Inputs!$E$17,Inputs!$E$15,Inputs!$E$16), B75/AVERAGE('Annual Inc Statement Reported'!$E$13,'Annual Inc Statement Reported'!$F$13), B75/SUM(OFFSET('Interim Inc Statement Reported'!B13,0,-1,,2)))),"")</f>
        <v>0.38968312453942522</v>
      </c>
      <c r="C97" s="25">
        <f ca="1">IFERROR(IF(Inputs!$E$14 = "Quarterly", IF(YEAR(C3)=Inputs!$E$17, C75/AVERAGE('Annual Inc Statement Reported'!$F$13,'Annual Inc Statement Reported'!$G$13), C75/SUM(OFFSET('Interim Inc Statement Reported'!C13,0,-3,,4))), IF(C3= DATE(Inputs!$E$17,Inputs!$E$15,Inputs!$E$16), C75/AVERAGE('Annual Inc Statement Reported'!$E$13,'Annual Inc Statement Reported'!$F$13), C75/SUM(OFFSET('Interim Inc Statement Reported'!C13,0,-1,,2)))),"")</f>
        <v>0.3633750921149595</v>
      </c>
      <c r="D97" s="25">
        <f ca="1">IFERROR(IF(Inputs!$E$14 = "Quarterly", IF(YEAR(D3)=Inputs!$E$17, D75/AVERAGE('Annual Inc Statement Reported'!$F$13,'Annual Inc Statement Reported'!$G$13), D75/SUM(OFFSET('Interim Inc Statement Reported'!D13,0,-3,,4))), IF(D3= DATE(Inputs!$E$17,Inputs!$E$15,Inputs!$E$16), D75/AVERAGE('Annual Inc Statement Reported'!$E$13,'Annual Inc Statement Reported'!$F$13), D75/SUM(OFFSET('Interim Inc Statement Reported'!D13,0,-1,,2)))),"")</f>
        <v>0.39447310243183492</v>
      </c>
      <c r="E97" s="25">
        <f ca="1">IFERROR(IF(Inputs!$E$14 = "Quarterly", IF(YEAR(E3)=Inputs!$E$17, E75/AVERAGE('Annual Inc Statement Reported'!$F$13,'Annual Inc Statement Reported'!$G$13), E75/SUM(OFFSET('Interim Inc Statement Reported'!E13,0,-3,,4))), IF(E3= DATE(Inputs!$E$17,Inputs!$E$15,Inputs!$E$16), E75/AVERAGE('Annual Inc Statement Reported'!$E$13,'Annual Inc Statement Reported'!$F$13), E75/SUM(OFFSET('Interim Inc Statement Reported'!E13,0,-1,,2)))),"")</f>
        <v>0.44605747973470894</v>
      </c>
      <c r="F97" s="25">
        <f ca="1">IFERROR(IF(Inputs!$E$14 = "Quarterly", IF(YEAR(F3)=Inputs!$E$17, F75/AVERAGE('Annual Inc Statement Reported'!$F$13,'Annual Inc Statement Reported'!$G$13), F75/SUM(OFFSET('Interim Inc Statement Reported'!F13,0,-3,,4))), IF(F3= DATE(Inputs!$E$17,Inputs!$E$15,Inputs!$E$16), F75/AVERAGE('Annual Inc Statement Reported'!$E$13,'Annual Inc Statement Reported'!$F$13), F75/SUM(OFFSET('Interim Inc Statement Reported'!F13,0,-1,,2)))),"")</f>
        <v>0.44277324165592324</v>
      </c>
      <c r="G97" s="25">
        <f ca="1">IFERROR(IF(Inputs!$E$14 = "Quarterly", IF(YEAR(G3)=Inputs!$E$17, G75/AVERAGE('Annual Inc Statement Reported'!$F$13,'Annual Inc Statement Reported'!$G$13), G75/SUM(OFFSET('Interim Inc Statement Reported'!G13,0,-3,,4))), IF(G3= DATE(Inputs!$E$17,Inputs!$E$15,Inputs!$E$16), G75/AVERAGE('Annual Inc Statement Reported'!$E$13,'Annual Inc Statement Reported'!$F$13), G75/SUM(OFFSET('Interim Inc Statement Reported'!G13,0,-1,,2)))),"")</f>
        <v>0.4768670569755819</v>
      </c>
      <c r="H97" s="25">
        <f ca="1">IFERROR(IF(Inputs!$E$14 = "Quarterly", IF(YEAR(H3)=Inputs!$E$17, H75/AVERAGE('Annual Inc Statement Reported'!$F$13,'Annual Inc Statement Reported'!$G$13), H75/SUM(OFFSET('Interim Inc Statement Reported'!H13,0,-3,,4))), IF(H3= DATE(Inputs!$E$17,Inputs!$E$15,Inputs!$E$16), H75/AVERAGE('Annual Inc Statement Reported'!$E$13,'Annual Inc Statement Reported'!$F$13), H75/SUM(OFFSET('Interim Inc Statement Reported'!H13,0,-1,,2)))),"")</f>
        <v>0.45884716641263684</v>
      </c>
      <c r="I97" s="25">
        <f ca="1">IFERROR(IF(Inputs!$E$14 = "Quarterly", IF(YEAR(I3)=Inputs!$E$17, I75/AVERAGE('Annual Inc Statement Reported'!$F$13,'Annual Inc Statement Reported'!$G$13), I75/SUM(OFFSET('Interim Inc Statement Reported'!I13,0,-3,,4))), IF(I3= DATE(Inputs!$E$17,Inputs!$E$15,Inputs!$E$16), I75/AVERAGE('Annual Inc Statement Reported'!$E$13,'Annual Inc Statement Reported'!$F$13), I75/SUM(OFFSET('Interim Inc Statement Reported'!I13,0,-1,,2)))),"")</f>
        <v>0.46828370920487838</v>
      </c>
      <c r="J97" s="25">
        <f ca="1">IFERROR(IF(Inputs!$E$14 = "Quarterly", IF(YEAR(J3)=Inputs!$E$17, J75/AVERAGE('Annual Inc Statement Reported'!$F$13,'Annual Inc Statement Reported'!$G$13), J75/SUM(OFFSET('Interim Inc Statement Reported'!J13,0,-3,,4))), IF(J3= DATE(Inputs!$E$17,Inputs!$E$15,Inputs!$E$16), J75/AVERAGE('Annual Inc Statement Reported'!$E$13,'Annual Inc Statement Reported'!$F$13), J75/SUM(OFFSET('Interim Inc Statement Reported'!J13,0,-1,,2)))),"")</f>
        <v>0.43162393162393164</v>
      </c>
      <c r="K97" s="25">
        <f ca="1">IFERROR(IF(Inputs!$E$14 = "Quarterly", IF(YEAR(K3)=Inputs!$E$17, K75/AVERAGE('Annual Inc Statement Reported'!$F$13,'Annual Inc Statement Reported'!$G$13), K75/SUM(OFFSET('Interim Inc Statement Reported'!K13,0,-3,,4))), IF(K3= DATE(Inputs!$E$17,Inputs!$E$15,Inputs!$E$16), K75/AVERAGE('Annual Inc Statement Reported'!$E$13,'Annual Inc Statement Reported'!$F$13), K75/SUM(OFFSET('Interim Inc Statement Reported'!K13,0,-1,,2)))),"")</f>
        <v>0.39804252009333679</v>
      </c>
      <c r="L97" s="25">
        <f ca="1">IFERROR(IF(Inputs!$E$14 = "Quarterly", IF(YEAR(L3)=Inputs!$E$17, L75/AVERAGE('Annual Inc Statement Reported'!$F$13,'Annual Inc Statement Reported'!$G$13), L75/SUM(OFFSET('Interim Inc Statement Reported'!L13,0,-3,,4))), IF(L3= DATE(Inputs!$E$17,Inputs!$E$15,Inputs!$E$16), L75/AVERAGE('Annual Inc Statement Reported'!$E$13,'Annual Inc Statement Reported'!$F$13), L75/SUM(OFFSET('Interim Inc Statement Reported'!L13,0,-1,,2)))),"")</f>
        <v>0.35775997981963803</v>
      </c>
      <c r="M97" s="25">
        <f ca="1">IFERROR(IF(Inputs!$E$14 = "Quarterly", IF(YEAR(M3)=Inputs!$E$17, M75/AVERAGE('Annual Inc Statement Reported'!$F$13,'Annual Inc Statement Reported'!$G$13), M75/SUM(OFFSET('Interim Inc Statement Reported'!M13,0,-3,,4))), IF(M3= DATE(Inputs!$E$17,Inputs!$E$15,Inputs!$E$16), M75/AVERAGE('Annual Inc Statement Reported'!$E$13,'Annual Inc Statement Reported'!$F$13), M75/SUM(OFFSET('Interim Inc Statement Reported'!M13,0,-1,,2)))),"")</f>
        <v>0.35909426532119126</v>
      </c>
      <c r="N97" s="25">
        <f ca="1">IFERROR(IF(Inputs!$E$14 = "Quarterly", IF(YEAR(N3)=Inputs!$E$17, N75/AVERAGE('Annual Inc Statement Reported'!$F$13,'Annual Inc Statement Reported'!$G$13), N75/SUM(OFFSET('Interim Inc Statement Reported'!N13,0,-3,,4))), IF(N3= DATE(Inputs!$E$17,Inputs!$E$15,Inputs!$E$16), N75/AVERAGE('Annual Inc Statement Reported'!$E$13,'Annual Inc Statement Reported'!$F$13), N75/SUM(OFFSET('Interim Inc Statement Reported'!N13,0,-1,,2)))),"")</f>
        <v>0.34668185360589893</v>
      </c>
      <c r="O97" s="25">
        <f ca="1">IFERROR(IF(Inputs!$E$14 = "Quarterly", IF(YEAR(O3)=Inputs!$E$17, O75/AVERAGE('Annual Inc Statement Reported'!$F$13,'Annual Inc Statement Reported'!$G$13), O75/SUM(OFFSET('Interim Inc Statement Reported'!O13,0,-3,,4))), IF(O3= DATE(Inputs!$E$17,Inputs!$E$15,Inputs!$E$16), O75/AVERAGE('Annual Inc Statement Reported'!$E$13,'Annual Inc Statement Reported'!$F$13), O75/SUM(OFFSET('Interim Inc Statement Reported'!O13,0,-1,,2)))),"")</f>
        <v>0.34091440598690365</v>
      </c>
      <c r="P97" s="25">
        <f ca="1">IFERROR(IF(Inputs!$E$14 = "Quarterly", IF(YEAR(P3)=Inputs!$E$17, P75/AVERAGE('Annual Inc Statement Reported'!$F$13,'Annual Inc Statement Reported'!$G$13), P75/SUM(OFFSET('Interim Inc Statement Reported'!P13,0,-3,,4))), IF(P3= DATE(Inputs!$E$17,Inputs!$E$15,Inputs!$E$16), P75/AVERAGE('Annual Inc Statement Reported'!$E$13,'Annual Inc Statement Reported'!$F$13), P75/SUM(OFFSET('Interim Inc Statement Reported'!P13,0,-1,,2)))),"")</f>
        <v>0.30234140257384207</v>
      </c>
      <c r="Q97" s="25">
        <f ca="1">IFERROR(IF(Inputs!$E$14 = "Quarterly", IF(YEAR(Q3)=Inputs!$E$17, Q75/AVERAGE('Annual Inc Statement Reported'!$F$13,'Annual Inc Statement Reported'!$G$13), Q75/SUM(OFFSET('Interim Inc Statement Reported'!Q13,0,-3,,4))), IF(Q3= DATE(Inputs!$E$17,Inputs!$E$15,Inputs!$E$16), Q75/AVERAGE('Annual Inc Statement Reported'!$E$13,'Annual Inc Statement Reported'!$F$13), Q75/SUM(OFFSET('Interim Inc Statement Reported'!Q13,0,-1,,2)))),"")</f>
        <v>0.48934403542762245</v>
      </c>
      <c r="R97" s="25">
        <f ca="1">IFERROR(IF(Inputs!$E$14 = "Quarterly", IF(YEAR(R3)=Inputs!$E$17, R75/AVERAGE('Annual Inc Statement Reported'!$F$13,'Annual Inc Statement Reported'!$G$13), R75/SUM(OFFSET('Interim Inc Statement Reported'!R13,0,-3,,4))), IF(R3= DATE(Inputs!$E$17,Inputs!$E$15,Inputs!$E$16), R75/AVERAGE('Annual Inc Statement Reported'!$E$13,'Annual Inc Statement Reported'!$F$13), R75/SUM(OFFSET('Interim Inc Statement Reported'!R13,0,-1,,2)))),"")</f>
        <v>0.2070797419634629</v>
      </c>
      <c r="S97" s="25">
        <f ca="1">IFERROR(IF(Inputs!$E$14 = "Quarterly", IF(YEAR(S3)=Inputs!$E$17, S75/AVERAGE('Annual Inc Statement Reported'!$F$13,'Annual Inc Statement Reported'!$G$13), S75/SUM(OFFSET('Interim Inc Statement Reported'!S13,0,-3,,4))), IF(S3= DATE(Inputs!$E$17,Inputs!$E$15,Inputs!$E$16), S75/AVERAGE('Annual Inc Statement Reported'!$E$13,'Annual Inc Statement Reported'!$F$13), S75/SUM(OFFSET('Interim Inc Statement Reported'!S13,0,-1,,2)))),"")</f>
        <v>0.18705950929998411</v>
      </c>
      <c r="T97" s="25">
        <f ca="1">IFERROR(IF(Inputs!$E$14 = "Quarterly", IF(YEAR(T3)=Inputs!$E$17, T75/AVERAGE('Annual Inc Statement Reported'!$F$13,'Annual Inc Statement Reported'!$G$13), T75/SUM(OFFSET('Interim Inc Statement Reported'!T13,0,-3,,4))), IF(T3= DATE(Inputs!$E$17,Inputs!$E$15,Inputs!$E$16), T75/AVERAGE('Annual Inc Statement Reported'!$E$13,'Annual Inc Statement Reported'!$F$13), T75/SUM(OFFSET('Interim Inc Statement Reported'!T13,0,-1,,2)))),"")</f>
        <v>0.183649850071019</v>
      </c>
      <c r="U97" s="25">
        <f ca="1">IFERROR(IF(Inputs!$E$14 = "Quarterly", IF(YEAR(U3)=Inputs!$E$17, U75/AVERAGE('Annual Inc Statement Reported'!$F$13,'Annual Inc Statement Reported'!$G$13), U75/SUM(OFFSET('Interim Inc Statement Reported'!U13,0,-3,,4))), IF(U3= DATE(Inputs!$E$17,Inputs!$E$15,Inputs!$E$16), U75/AVERAGE('Annual Inc Statement Reported'!$E$13,'Annual Inc Statement Reported'!$F$13), U75/SUM(OFFSET('Interim Inc Statement Reported'!U13,0,-1,,2)))),"")</f>
        <v>0.1752652762532016</v>
      </c>
      <c r="V97" s="25">
        <f ca="1">IFERROR(IF(Inputs!$E$14 = "Quarterly", IF(YEAR(V3)=Inputs!$E$17, V75/AVERAGE('Annual Inc Statement Reported'!$F$13,'Annual Inc Statement Reported'!$G$13), V75/SUM(OFFSET('Interim Inc Statement Reported'!V13,0,-3,,4))), IF(V3= DATE(Inputs!$E$17,Inputs!$E$15,Inputs!$E$16), V75/AVERAGE('Annual Inc Statement Reported'!$E$13,'Annual Inc Statement Reported'!$F$13), V75/SUM(OFFSET('Interim Inc Statement Reported'!V13,0,-1,,2)))),"")</f>
        <v>0.24809782608695652</v>
      </c>
      <c r="W97" s="25">
        <f ca="1">IFERROR(IF(Inputs!$E$14 = "Quarterly", IF(YEAR(W3)=Inputs!$E$17, W75/AVERAGE('Annual Inc Statement Reported'!$F$13,'Annual Inc Statement Reported'!$G$13), W75/SUM(OFFSET('Interim Inc Statement Reported'!W13,0,-3,,4))), IF(W3= DATE(Inputs!$E$17,Inputs!$E$15,Inputs!$E$16), W75/AVERAGE('Annual Inc Statement Reported'!$E$13,'Annual Inc Statement Reported'!$F$13), W75/SUM(OFFSET('Interim Inc Statement Reported'!W13,0,-1,,2)))),"")</f>
        <v>0.35568101623147497</v>
      </c>
      <c r="X97" s="25">
        <f ca="1">IFERROR(IF(Inputs!$E$14 = "Quarterly", IF(YEAR(X3)=Inputs!$E$17, X75/AVERAGE('Annual Inc Statement Reported'!$F$13,'Annual Inc Statement Reported'!$G$13), X75/SUM(OFFSET('Interim Inc Statement Reported'!X13,0,-3,,4))), IF(X3= DATE(Inputs!$E$17,Inputs!$E$15,Inputs!$E$16), X75/AVERAGE('Annual Inc Statement Reported'!$E$13,'Annual Inc Statement Reported'!$F$13), X75/SUM(OFFSET('Interim Inc Statement Reported'!X13,0,-1,,2)))),"")</f>
        <v>0.57467463196074253</v>
      </c>
      <c r="Y97" s="25">
        <f ca="1">IFERROR(IF(Inputs!$E$14 = "Quarterly", IF(YEAR(Y3)=Inputs!$E$17, Y75/AVERAGE('Annual Inc Statement Reported'!$F$13,'Annual Inc Statement Reported'!$G$13), Y75/SUM(OFFSET('Interim Inc Statement Reported'!Y13,0,-3,,4))), IF(Y3= DATE(Inputs!$E$17,Inputs!$E$15,Inputs!$E$16), Y75/AVERAGE('Annual Inc Statement Reported'!$E$13,'Annual Inc Statement Reported'!$F$13), Y75/SUM(OFFSET('Interim Inc Statement Reported'!Y13,0,-1,,2)))),"")</f>
        <v>0.9408537630721755</v>
      </c>
      <c r="Z97" s="25">
        <f ca="1">IFERROR(IF(Inputs!$E$14 = "Quarterly", IF(YEAR(Z3)=Inputs!$E$17, Z75/AVERAGE('Annual Inc Statement Reported'!$F$13,'Annual Inc Statement Reported'!$G$13), Z75/SUM(OFFSET('Interim Inc Statement Reported'!Z13,0,-3,,4))), IF(Z3= DATE(Inputs!$E$17,Inputs!$E$15,Inputs!$E$16), Z75/AVERAGE('Annual Inc Statement Reported'!$E$13,'Annual Inc Statement Reported'!$F$13), Z75/SUM(OFFSET('Interim Inc Statement Reported'!Z13,0,-1,,2)))),"")</f>
        <v>2.3883802816901407</v>
      </c>
      <c r="AA97" s="25">
        <f ca="1">IFERROR(IF(Inputs!$E$14 = "Quarterly", IF(YEAR(AA3)=Inputs!$E$17, AA75/AVERAGE('Annual Inc Statement Reported'!$F$13,'Annual Inc Statement Reported'!$G$13), AA75/SUM(OFFSET('Interim Inc Statement Reported'!AA13,0,-3,,4))), IF(AA3= DATE(Inputs!$E$17,Inputs!$E$15,Inputs!$E$16), AA75/AVERAGE('Annual Inc Statement Reported'!$E$13,'Annual Inc Statement Reported'!$F$13), AA75/SUM(OFFSET('Interim Inc Statement Reported'!AA13,0,-1,,2)))),"")</f>
        <v>2.4295238095238094</v>
      </c>
      <c r="AB97" s="25">
        <f ca="1">IFERROR(IF(Inputs!$E$14 = "Quarterly", IF(YEAR(AB3)=Inputs!$E$17, AB75/AVERAGE('Annual Inc Statement Reported'!$F$13,'Annual Inc Statement Reported'!$G$13), AB75/SUM(OFFSET('Interim Inc Statement Reported'!AB13,0,-3,,4))), IF(AB3= DATE(Inputs!$E$17,Inputs!$E$15,Inputs!$E$16), AB75/AVERAGE('Annual Inc Statement Reported'!$E$13,'Annual Inc Statement Reported'!$F$13), AB75/SUM(OFFSET('Interim Inc Statement Reported'!AB13,0,-1,,2)))),"")</f>
        <v>1.7749110320284698</v>
      </c>
    </row>
    <row r="98" spans="1:28" x14ac:dyDescent="0.3">
      <c r="A98" s="85" t="s">
        <v>151</v>
      </c>
      <c r="B98" s="25">
        <f ca="1">IFERROR(IF(Inputs!$E$14 = "Quarterly", IF(YEAR(B3)=Inputs!$E$17, B128/AVERAGE('Annual Inc Statement Reported'!$F$26,'Annual Inc Statement Reported'!$G$26), B128/SUM(OFFSET('Interim Inc Statement Reported'!B26,0,-3,,4))), IF(B3= DATE(Inputs!$E$17,Inputs!$E$15,Inputs!$E$16), B128/AVERAGE('Annual Inc Statement Reported'!$E$26,'Annual Inc Statement Reported'!$F$26), B128/SUM(OFFSET('Interim Inc Statement Reported'!B26,0,-1,,2)))),"")</f>
        <v>2.528328950513985</v>
      </c>
      <c r="C98" s="25">
        <f ca="1">IFERROR(IF(Inputs!$E$14 = "Quarterly", IF(YEAR(C3)=Inputs!$E$17, C128/AVERAGE('Annual Inc Statement Reported'!$F$26,'Annual Inc Statement Reported'!$G$26), C128/SUM(OFFSET('Interim Inc Statement Reported'!C26,0,-3,,4))), IF(C3= DATE(Inputs!$E$17,Inputs!$E$15,Inputs!$E$16), C128/AVERAGE('Annual Inc Statement Reported'!$E$26,'Annual Inc Statement Reported'!$F$26), C128/SUM(OFFSET('Interim Inc Statement Reported'!C26,0,-1,,2)))),"")</f>
        <v>2.3576380588094668</v>
      </c>
      <c r="D98" s="25">
        <f ca="1">IFERROR(IF(Inputs!$E$14 = "Quarterly", IF(YEAR(D3)=Inputs!$E$17, D128/AVERAGE('Annual Inc Statement Reported'!$F$26,'Annual Inc Statement Reported'!$G$26), D128/SUM(OFFSET('Interim Inc Statement Reported'!D26,0,-3,,4))), IF(D3= DATE(Inputs!$E$17,Inputs!$E$15,Inputs!$E$16), D128/AVERAGE('Annual Inc Statement Reported'!$E$26,'Annual Inc Statement Reported'!$F$26), D128/SUM(OFFSET('Interim Inc Statement Reported'!D26,0,-1,,2)))),"")</f>
        <v>2.5594071240736316</v>
      </c>
      <c r="E98" s="25">
        <f ca="1">IFERROR(IF(Inputs!$E$14 = "Quarterly", IF(YEAR(E3)=Inputs!$E$17, E128/AVERAGE('Annual Inc Statement Reported'!$F$26,'Annual Inc Statement Reported'!$G$26), E128/SUM(OFFSET('Interim Inc Statement Reported'!E26,0,-3,,4))), IF(E3= DATE(Inputs!$E$17,Inputs!$E$15,Inputs!$E$16), E128/AVERAGE('Annual Inc Statement Reported'!$E$26,'Annual Inc Statement Reported'!$F$26), E128/SUM(OFFSET('Interim Inc Statement Reported'!E26,0,-1,,2)))),"")</f>
        <v>2.8940951470236671</v>
      </c>
      <c r="F98" s="25">
        <f ca="1">IFERROR(IF(Inputs!$E$14 = "Quarterly", IF(YEAR(F3)=Inputs!$E$17, F128/AVERAGE('Annual Inc Statement Reported'!$F$26,'Annual Inc Statement Reported'!$G$26), F128/SUM(OFFSET('Interim Inc Statement Reported'!F26,0,-3,,4))), IF(F3= DATE(Inputs!$E$17,Inputs!$E$15,Inputs!$E$16), F128/AVERAGE('Annual Inc Statement Reported'!$E$26,'Annual Inc Statement Reported'!$F$26), F128/SUM(OFFSET('Interim Inc Statement Reported'!F26,0,-1,,2)))),"")</f>
        <v>2.4483168316831683</v>
      </c>
      <c r="G98" s="25">
        <f ca="1">IFERROR(IF(Inputs!$E$14 = "Quarterly", IF(YEAR(G3)=Inputs!$E$17, G128/AVERAGE('Annual Inc Statement Reported'!$F$26,'Annual Inc Statement Reported'!$G$26), G128/SUM(OFFSET('Interim Inc Statement Reported'!G26,0,-3,,4))), IF(G3= DATE(Inputs!$E$17,Inputs!$E$15,Inputs!$E$16), G128/AVERAGE('Annual Inc Statement Reported'!$E$26,'Annual Inc Statement Reported'!$F$26), G128/SUM(OFFSET('Interim Inc Statement Reported'!G26,0,-1,,2)))),"")</f>
        <v>2.6140900195694718</v>
      </c>
      <c r="H98" s="25">
        <f ca="1">IFERROR(IF(Inputs!$E$14 = "Quarterly", IF(YEAR(H3)=Inputs!$E$17, H128/AVERAGE('Annual Inc Statement Reported'!$F$26,'Annual Inc Statement Reported'!$G$26), H128/SUM(OFFSET('Interim Inc Statement Reported'!H26,0,-3,,4))), IF(H3= DATE(Inputs!$E$17,Inputs!$E$15,Inputs!$E$16), H128/AVERAGE('Annual Inc Statement Reported'!$E$26,'Annual Inc Statement Reported'!$F$26), H128/SUM(OFFSET('Interim Inc Statement Reported'!H26,0,-1,,2)))),"")</f>
        <v>2.4349264705882354</v>
      </c>
      <c r="I98" s="25">
        <f ca="1">IFERROR(IF(Inputs!$E$14 = "Quarterly", IF(YEAR(I3)=Inputs!$E$17, I128/AVERAGE('Annual Inc Statement Reported'!$F$26,'Annual Inc Statement Reported'!$G$26), I128/SUM(OFFSET('Interim Inc Statement Reported'!I26,0,-3,,4))), IF(I3= DATE(Inputs!$E$17,Inputs!$E$15,Inputs!$E$16), I128/AVERAGE('Annual Inc Statement Reported'!$E$26,'Annual Inc Statement Reported'!$F$26), I128/SUM(OFFSET('Interim Inc Statement Reported'!I26,0,-1,,2)))),"")</f>
        <v>2.5324244657332349</v>
      </c>
      <c r="J98" s="25">
        <f ca="1">IFERROR(IF(Inputs!$E$14 = "Quarterly", IF(YEAR(J3)=Inputs!$E$17, J128/AVERAGE('Annual Inc Statement Reported'!$F$26,'Annual Inc Statement Reported'!$G$26), J128/SUM(OFFSET('Interim Inc Statement Reported'!J26,0,-3,,4))), IF(J3= DATE(Inputs!$E$17,Inputs!$E$15,Inputs!$E$16), J128/AVERAGE('Annual Inc Statement Reported'!$E$26,'Annual Inc Statement Reported'!$F$26), J128/SUM(OFFSET('Interim Inc Statement Reported'!J26,0,-1,,2)))),"")</f>
        <v>2.4938271604938271</v>
      </c>
      <c r="K98" s="25">
        <f ca="1">IFERROR(IF(Inputs!$E$14 = "Quarterly", IF(YEAR(K3)=Inputs!$E$17, K128/AVERAGE('Annual Inc Statement Reported'!$F$26,'Annual Inc Statement Reported'!$G$26), K128/SUM(OFFSET('Interim Inc Statement Reported'!K26,0,-3,,4))), IF(K3= DATE(Inputs!$E$17,Inputs!$E$15,Inputs!$E$16), K128/AVERAGE('Annual Inc Statement Reported'!$E$26,'Annual Inc Statement Reported'!$F$26), K128/SUM(OFFSET('Interim Inc Statement Reported'!K26,0,-1,,2)))),"")</f>
        <v>2.3138658628485307</v>
      </c>
      <c r="L98" s="25">
        <f ca="1">IFERROR(IF(Inputs!$E$14 = "Quarterly", IF(YEAR(L3)=Inputs!$E$17, L128/AVERAGE('Annual Inc Statement Reported'!$F$26,'Annual Inc Statement Reported'!$G$26), L128/SUM(OFFSET('Interim Inc Statement Reported'!L26,0,-3,,4))), IF(L3= DATE(Inputs!$E$17,Inputs!$E$15,Inputs!$E$16), L128/AVERAGE('Annual Inc Statement Reported'!$E$26,'Annual Inc Statement Reported'!$F$26), L128/SUM(OFFSET('Interim Inc Statement Reported'!L26,0,-1,,2)))),"")</f>
        <v>2.0131298793470545</v>
      </c>
      <c r="M98" s="25">
        <f ca="1">IFERROR(IF(Inputs!$E$14 = "Quarterly", IF(YEAR(M3)=Inputs!$E$17, M128/AVERAGE('Annual Inc Statement Reported'!$F$26,'Annual Inc Statement Reported'!$G$26), M128/SUM(OFFSET('Interim Inc Statement Reported'!M26,0,-3,,4))), IF(M3= DATE(Inputs!$E$17,Inputs!$E$15,Inputs!$E$16), M128/AVERAGE('Annual Inc Statement Reported'!$E$26,'Annual Inc Statement Reported'!$F$26), M128/SUM(OFFSET('Interim Inc Statement Reported'!M26,0,-1,,2)))),"")</f>
        <v>2.0256855258590769</v>
      </c>
      <c r="N98" s="25">
        <f ca="1">IFERROR(IF(Inputs!$E$14 = "Quarterly", IF(YEAR(N3)=Inputs!$E$17, N128/AVERAGE('Annual Inc Statement Reported'!$F$26,'Annual Inc Statement Reported'!$G$26), N128/SUM(OFFSET('Interim Inc Statement Reported'!N26,0,-3,,4))), IF(N3= DATE(Inputs!$E$17,Inputs!$E$15,Inputs!$E$16), N128/AVERAGE('Annual Inc Statement Reported'!$E$26,'Annual Inc Statement Reported'!$F$26), N128/SUM(OFFSET('Interim Inc Statement Reported'!N26,0,-1,,2)))),"")</f>
        <v>1.9717013296965564</v>
      </c>
      <c r="O98" s="25">
        <f ca="1">IFERROR(IF(Inputs!$E$14 = "Quarterly", IF(YEAR(O3)=Inputs!$E$17, O128/AVERAGE('Annual Inc Statement Reported'!$F$26,'Annual Inc Statement Reported'!$G$26), O128/SUM(OFFSET('Interim Inc Statement Reported'!O26,0,-3,,4))), IF(O3= DATE(Inputs!$E$17,Inputs!$E$15,Inputs!$E$16), O128/AVERAGE('Annual Inc Statement Reported'!$E$26,'Annual Inc Statement Reported'!$F$26), O128/SUM(OFFSET('Interim Inc Statement Reported'!O26,0,-1,,2)))),"")</f>
        <v>2.0058479532163744</v>
      </c>
      <c r="P98" s="25">
        <f ca="1">IFERROR(IF(Inputs!$E$14 = "Quarterly", IF(YEAR(P3)=Inputs!$E$17, P128/AVERAGE('Annual Inc Statement Reported'!$F$26,'Annual Inc Statement Reported'!$G$26), P128/SUM(OFFSET('Interim Inc Statement Reported'!P26,0,-3,,4))), IF(P3= DATE(Inputs!$E$17,Inputs!$E$15,Inputs!$E$16), P128/AVERAGE('Annual Inc Statement Reported'!$E$26,'Annual Inc Statement Reported'!$F$26), P128/SUM(OFFSET('Interim Inc Statement Reported'!P26,0,-1,,2)))),"")</f>
        <v>1.9364560639070443</v>
      </c>
      <c r="Q98" s="25">
        <f ca="1">IFERROR(IF(Inputs!$E$14 = "Quarterly", IF(YEAR(Q3)=Inputs!$E$17, Q128/AVERAGE('Annual Inc Statement Reported'!$F$26,'Annual Inc Statement Reported'!$G$26), Q128/SUM(OFFSET('Interim Inc Statement Reported'!Q26,0,-3,,4))), IF(Q3= DATE(Inputs!$E$17,Inputs!$E$15,Inputs!$E$16), Q128/AVERAGE('Annual Inc Statement Reported'!$E$26,'Annual Inc Statement Reported'!$F$26), Q128/SUM(OFFSET('Interim Inc Statement Reported'!Q26,0,-1,,2)))),"")</f>
        <v>3.1890331890331889</v>
      </c>
      <c r="R98" s="25">
        <f ca="1">IFERROR(IF(Inputs!$E$14 = "Quarterly", IF(YEAR(R3)=Inputs!$E$17, R128/AVERAGE('Annual Inc Statement Reported'!$F$26,'Annual Inc Statement Reported'!$G$26), R128/SUM(OFFSET('Interim Inc Statement Reported'!R26,0,-3,,4))), IF(R3= DATE(Inputs!$E$17,Inputs!$E$15,Inputs!$E$16), R128/AVERAGE('Annual Inc Statement Reported'!$E$26,'Annual Inc Statement Reported'!$F$26), R128/SUM(OFFSET('Interim Inc Statement Reported'!R26,0,-1,,2)))),"")</f>
        <v>1.2831709774941216</v>
      </c>
      <c r="S98" s="25">
        <f ca="1">IFERROR(IF(Inputs!$E$14 = "Quarterly", IF(YEAR(S3)=Inputs!$E$17, S128/AVERAGE('Annual Inc Statement Reported'!$F$26,'Annual Inc Statement Reported'!$G$26), S128/SUM(OFFSET('Interim Inc Statement Reported'!S26,0,-3,,4))), IF(S3= DATE(Inputs!$E$17,Inputs!$E$15,Inputs!$E$16), S128/AVERAGE('Annual Inc Statement Reported'!$E$26,'Annual Inc Statement Reported'!$F$26), S128/SUM(OFFSET('Interim Inc Statement Reported'!S26,0,-1,,2)))),"")</f>
        <v>1.0808328230251072</v>
      </c>
      <c r="T98" s="25">
        <f ca="1">IFERROR(IF(Inputs!$E$14 = "Quarterly", IF(YEAR(T3)=Inputs!$E$17, T128/AVERAGE('Annual Inc Statement Reported'!$F$26,'Annual Inc Statement Reported'!$G$26), T128/SUM(OFFSET('Interim Inc Statement Reported'!T26,0,-3,,4))), IF(T3= DATE(Inputs!$E$17,Inputs!$E$15,Inputs!$E$16), T128/AVERAGE('Annual Inc Statement Reported'!$E$26,'Annual Inc Statement Reported'!$F$26), T128/SUM(OFFSET('Interim Inc Statement Reported'!T26,0,-1,,2)))),"")</f>
        <v>0.99942742628113368</v>
      </c>
      <c r="U98" s="25">
        <f ca="1">IFERROR(IF(Inputs!$E$14 = "Quarterly", IF(YEAR(U3)=Inputs!$E$17, U128/AVERAGE('Annual Inc Statement Reported'!$F$26,'Annual Inc Statement Reported'!$G$26), U128/SUM(OFFSET('Interim Inc Statement Reported'!U26,0,-3,,4))), IF(U3= DATE(Inputs!$E$17,Inputs!$E$15,Inputs!$E$16), U128/AVERAGE('Annual Inc Statement Reported'!$E$26,'Annual Inc Statement Reported'!$F$26), U128/SUM(OFFSET('Interim Inc Statement Reported'!U26,0,-1,,2)))),"")</f>
        <v>0.92216721672167212</v>
      </c>
      <c r="V98" s="25">
        <f ca="1">IFERROR(IF(Inputs!$E$14 = "Quarterly", IF(YEAR(V3)=Inputs!$E$17, V128/AVERAGE('Annual Inc Statement Reported'!$F$26,'Annual Inc Statement Reported'!$G$26), V128/SUM(OFFSET('Interim Inc Statement Reported'!V26,0,-3,,4))), IF(V3= DATE(Inputs!$E$17,Inputs!$E$15,Inputs!$E$16), V128/AVERAGE('Annual Inc Statement Reported'!$E$26,'Annual Inc Statement Reported'!$F$26), V128/SUM(OFFSET('Interim Inc Statement Reported'!V26,0,-1,,2)))),"")</f>
        <v>1.4612676056338028</v>
      </c>
      <c r="W98" s="25">
        <f ca="1">IFERROR(IF(Inputs!$E$14 = "Quarterly", IF(YEAR(W3)=Inputs!$E$17, W128/AVERAGE('Annual Inc Statement Reported'!$F$26,'Annual Inc Statement Reported'!$G$26), W128/SUM(OFFSET('Interim Inc Statement Reported'!W26,0,-3,,4))), IF(W3= DATE(Inputs!$E$17,Inputs!$E$15,Inputs!$E$16), W128/AVERAGE('Annual Inc Statement Reported'!$E$26,'Annual Inc Statement Reported'!$F$26), W128/SUM(OFFSET('Interim Inc Statement Reported'!W26,0,-1,,2)))),"")</f>
        <v>3.4379263301500682</v>
      </c>
      <c r="X98" s="25">
        <f ca="1">IFERROR(IF(Inputs!$E$14 = "Quarterly", IF(YEAR(X3)=Inputs!$E$17, X128/AVERAGE('Annual Inc Statement Reported'!$F$26,'Annual Inc Statement Reported'!$G$26), X128/SUM(OFFSET('Interim Inc Statement Reported'!X26,0,-3,,4))), IF(X3= DATE(Inputs!$E$17,Inputs!$E$15,Inputs!$E$16), X128/AVERAGE('Annual Inc Statement Reported'!$E$26,'Annual Inc Statement Reported'!$F$26), X128/SUM(OFFSET('Interim Inc Statement Reported'!X26,0,-1,,2)))),"")</f>
        <v>-14.520215633423181</v>
      </c>
      <c r="Y98" s="25">
        <f ca="1">IFERROR(IF(Inputs!$E$14 = "Quarterly", IF(YEAR(Y3)=Inputs!$E$17, Y128/AVERAGE('Annual Inc Statement Reported'!$F$26,'Annual Inc Statement Reported'!$G$26), Y128/SUM(OFFSET('Interim Inc Statement Reported'!Y26,0,-3,,4))), IF(Y3= DATE(Inputs!$E$17,Inputs!$E$15,Inputs!$E$16), Y128/AVERAGE('Annual Inc Statement Reported'!$E$26,'Annual Inc Statement Reported'!$F$26), Y128/SUM(OFFSET('Interim Inc Statement Reported'!Y26,0,-1,,2)))),"")</f>
        <v>-3.3960396039603959</v>
      </c>
      <c r="Z98" s="25">
        <f ca="1">IFERROR(IF(Inputs!$E$14 = "Quarterly", IF(YEAR(Z3)=Inputs!$E$17, Z128/AVERAGE('Annual Inc Statement Reported'!$F$26,'Annual Inc Statement Reported'!$G$26), Z128/SUM(OFFSET('Interim Inc Statement Reported'!Z26,0,-3,,4))), IF(Z3= DATE(Inputs!$E$17,Inputs!$E$15,Inputs!$E$16), Z128/AVERAGE('Annual Inc Statement Reported'!$E$26,'Annual Inc Statement Reported'!$F$26), Z128/SUM(OFFSET('Interim Inc Statement Reported'!Z26,0,-1,,2)))),"")</f>
        <v>-2.9452887537993919</v>
      </c>
      <c r="AA98" s="25">
        <f ca="1">IFERROR(IF(Inputs!$E$14 = "Quarterly", IF(YEAR(AA3)=Inputs!$E$17, AA128/AVERAGE('Annual Inc Statement Reported'!$F$26,'Annual Inc Statement Reported'!$G$26), AA128/SUM(OFFSET('Interim Inc Statement Reported'!AA26,0,-3,,4))), IF(AA3= DATE(Inputs!$E$17,Inputs!$E$15,Inputs!$E$16), AA128/AVERAGE('Annual Inc Statement Reported'!$E$26,'Annual Inc Statement Reported'!$F$26), AA128/SUM(OFFSET('Interim Inc Statement Reported'!AA26,0,-1,,2)))),"")</f>
        <v>-3.3507005253940454</v>
      </c>
      <c r="AB98" s="25">
        <f ca="1">IFERROR(IF(Inputs!$E$14 = "Quarterly", IF(YEAR(AB3)=Inputs!$E$17, AB128/AVERAGE('Annual Inc Statement Reported'!$F$26,'Annual Inc Statement Reported'!$G$26), AB128/SUM(OFFSET('Interim Inc Statement Reported'!AB26,0,-3,,4))), IF(AB3= DATE(Inputs!$E$17,Inputs!$E$15,Inputs!$E$16), AB128/AVERAGE('Annual Inc Statement Reported'!$E$26,'Annual Inc Statement Reported'!$F$26), AB128/SUM(OFFSET('Interim Inc Statement Reported'!AB26,0,-1,,2)))),"")</f>
        <v>-4.211081794195251</v>
      </c>
    </row>
    <row r="99" spans="1:28" x14ac:dyDescent="0.3">
      <c r="A99" s="85" t="s">
        <v>152</v>
      </c>
      <c r="B99" s="2">
        <f>IFERROR(B66/B34,"")</f>
        <v>-0.10474052327087471</v>
      </c>
      <c r="C99" s="2">
        <f t="shared" ref="C99:K99" si="189">IFERROR(C66/C34,"")</f>
        <v>-3.1356069177307259E-2</v>
      </c>
      <c r="D99" s="2">
        <f t="shared" si="189"/>
        <v>-3.9984319874558994E-3</v>
      </c>
      <c r="E99" s="2">
        <f t="shared" si="189"/>
        <v>3.0471547192808717E-3</v>
      </c>
      <c r="F99" s="2">
        <f t="shared" si="189"/>
        <v>-5.4210175516551877E-2</v>
      </c>
      <c r="G99" s="2">
        <f t="shared" si="189"/>
        <v>-4.6289290872824816E-2</v>
      </c>
      <c r="H99" s="2">
        <f t="shared" si="189"/>
        <v>1.0841750841750842E-2</v>
      </c>
      <c r="I99" s="2">
        <f t="shared" si="189"/>
        <v>8.0653698557628689E-2</v>
      </c>
      <c r="J99" s="2">
        <f t="shared" si="189"/>
        <v>5.8308119011598589E-2</v>
      </c>
      <c r="K99" s="2">
        <f t="shared" si="189"/>
        <v>7.1857365830231723E-2</v>
      </c>
      <c r="L99" s="2">
        <f t="shared" ref="L99:O99" si="190">IFERROR(L66/L34,"")</f>
        <v>0.17605189139544228</v>
      </c>
      <c r="M99" s="2">
        <f t="shared" si="190"/>
        <v>0.19092552830828341</v>
      </c>
      <c r="N99" s="2">
        <f t="shared" si="190"/>
        <v>0.17432788613600422</v>
      </c>
      <c r="O99" s="2">
        <f t="shared" si="190"/>
        <v>0.19402095644832895</v>
      </c>
      <c r="P99" s="2">
        <f t="shared" ref="P99:R99" si="191">IFERROR(P66/P34,"")</f>
        <v>0.23006522728421905</v>
      </c>
      <c r="Q99" s="2">
        <f t="shared" si="191"/>
        <v>0.14975094822464927</v>
      </c>
      <c r="R99" s="2">
        <f t="shared" si="191"/>
        <v>0.12078146230399177</v>
      </c>
      <c r="S99" s="2">
        <f t="shared" ref="S99:T99" si="192">IFERROR(S66/S34,"")</f>
        <v>0.12169197396963123</v>
      </c>
      <c r="T99" s="2">
        <f t="shared" si="192"/>
        <v>0.147034221915118</v>
      </c>
      <c r="U99" s="2">
        <f t="shared" ref="U99:Y99" si="193">IFERROR(U66/U34,"")</f>
        <v>0.15850715083396377</v>
      </c>
      <c r="V99" s="2">
        <f t="shared" si="193"/>
        <v>0.15037408243929984</v>
      </c>
      <c r="W99" s="2">
        <f t="shared" si="193"/>
        <v>6.947797993538514E-2</v>
      </c>
      <c r="X99" s="2">
        <f t="shared" si="193"/>
        <v>6.0051122238173604E-2</v>
      </c>
      <c r="Y99" s="2">
        <f t="shared" si="193"/>
        <v>5.9315878670494239E-2</v>
      </c>
      <c r="Z99" s="2">
        <f t="shared" ref="Z99:AA99" si="194">IFERROR(Z66/Z34,"")</f>
        <v>3.2915817069618408E-2</v>
      </c>
      <c r="AA99" s="2">
        <f t="shared" si="194"/>
        <v>2.1770298822819199E-2</v>
      </c>
      <c r="AB99" s="2">
        <f t="shared" ref="AB99" si="195">IFERROR(AB66/AB34,"")</f>
        <v>4.7854785478547851E-3</v>
      </c>
    </row>
    <row r="100" spans="1:28" s="29" customFormat="1" x14ac:dyDescent="0.3">
      <c r="A100" s="255" t="s">
        <v>256</v>
      </c>
      <c r="B100" s="256">
        <f ca="1">IFERROR(B66/(B34+B73),"")</f>
        <v>-8.7190914318573898E-2</v>
      </c>
      <c r="C100" s="256">
        <f t="shared" ref="C100:K100" ca="1" si="196">IFERROR(C66/(C34+C73),"")</f>
        <v>-2.6385583134988098E-2</v>
      </c>
      <c r="D100" s="256">
        <f t="shared" ca="1" si="196"/>
        <v>-3.3806177913297095E-3</v>
      </c>
      <c r="E100" s="256">
        <f t="shared" ca="1" si="196"/>
        <v>2.5876568766981497E-3</v>
      </c>
      <c r="F100" s="256">
        <f t="shared" ca="1" si="196"/>
        <v>-4.5229856648541768E-2</v>
      </c>
      <c r="G100" s="256">
        <f t="shared" ca="1" si="196"/>
        <v>-3.864262746899403E-2</v>
      </c>
      <c r="H100" s="256">
        <f t="shared" ca="1" si="196"/>
        <v>8.9793641940881207E-3</v>
      </c>
      <c r="I100" s="256">
        <f t="shared" ca="1" si="196"/>
        <v>6.6437758883802045E-2</v>
      </c>
      <c r="J100" s="256">
        <f t="shared" ca="1" si="196"/>
        <v>4.8257512520868115E-2</v>
      </c>
      <c r="K100" s="256">
        <f t="shared" ca="1" si="196"/>
        <v>5.9587813620071685E-2</v>
      </c>
      <c r="L100" s="256">
        <f t="shared" ref="L100:O100" ca="1" si="197">IFERROR(L66/(L34+L73),"")</f>
        <v>0.1467464114832536</v>
      </c>
      <c r="M100" s="256">
        <f t="shared" ca="1" si="197"/>
        <v>0.15924407370752627</v>
      </c>
      <c r="N100" s="256">
        <f t="shared" ca="1" si="197"/>
        <v>0.1468994314143568</v>
      </c>
      <c r="O100" s="256">
        <f t="shared" ca="1" si="197"/>
        <v>0.16534066864155733</v>
      </c>
      <c r="P100" s="256">
        <f t="shared" ref="P100:R100" ca="1" si="198">IFERROR(P66/(P34+P73),"")</f>
        <v>0.19482743855442322</v>
      </c>
      <c r="Q100" s="256">
        <f t="shared" ca="1" si="198"/>
        <v>0.12846446352267826</v>
      </c>
      <c r="R100" s="256">
        <f t="shared" si="198"/>
        <v>0.12078146230399177</v>
      </c>
      <c r="S100" s="256">
        <f t="shared" ref="S100:T100" si="199">IFERROR(S66/(S34+S73),"")</f>
        <v>0.12169197396963123</v>
      </c>
      <c r="T100" s="256">
        <f t="shared" si="199"/>
        <v>0.147034221915118</v>
      </c>
      <c r="U100" s="256">
        <f t="shared" ref="U100:Y100" si="200">IFERROR(U66/(U34+U73),"")</f>
        <v>0.15850715083396377</v>
      </c>
      <c r="V100" s="256">
        <f t="shared" si="200"/>
        <v>0.15037408243929984</v>
      </c>
      <c r="W100" s="256">
        <f t="shared" si="200"/>
        <v>6.947797993538514E-2</v>
      </c>
      <c r="X100" s="256">
        <f t="shared" si="200"/>
        <v>6.0051122238173604E-2</v>
      </c>
      <c r="Y100" s="256">
        <f t="shared" si="200"/>
        <v>5.9315878670494239E-2</v>
      </c>
      <c r="Z100" s="256">
        <f t="shared" ref="Z100:AA100" si="201">IFERROR(Z66/(Z34+Z73),"")</f>
        <v>3.2915817069618408E-2</v>
      </c>
      <c r="AA100" s="256">
        <f t="shared" si="201"/>
        <v>2.1770298822819199E-2</v>
      </c>
      <c r="AB100" s="256">
        <f t="shared" ref="AB100" si="202">IFERROR(AB66/(AB34+AB73),"")</f>
        <v>4.7854785478547851E-3</v>
      </c>
    </row>
    <row r="101" spans="1:28" x14ac:dyDescent="0.3">
      <c r="A101" s="8" t="s">
        <v>153</v>
      </c>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row>
    <row r="102" spans="1:28" x14ac:dyDescent="0.3">
      <c r="A102" s="85" t="s">
        <v>154</v>
      </c>
      <c r="B102" s="5">
        <f>B21</f>
        <v>0</v>
      </c>
      <c r="C102" s="5">
        <f t="shared" ref="C102:I102" si="203">C21</f>
        <v>623</v>
      </c>
      <c r="D102" s="5">
        <f t="shared" si="203"/>
        <v>543</v>
      </c>
      <c r="E102" s="5">
        <f t="shared" si="203"/>
        <v>851</v>
      </c>
      <c r="F102" s="5">
        <f t="shared" si="203"/>
        <v>398</v>
      </c>
      <c r="G102" s="5">
        <f t="shared" si="203"/>
        <v>402</v>
      </c>
      <c r="H102" s="5">
        <f t="shared" si="203"/>
        <v>557</v>
      </c>
      <c r="I102" s="5">
        <f t="shared" si="203"/>
        <v>1153</v>
      </c>
      <c r="J102" s="5">
        <f>J21</f>
        <v>1007</v>
      </c>
      <c r="K102" s="5">
        <f>K21</f>
        <v>1069</v>
      </c>
      <c r="L102" s="5">
        <f t="shared" ref="L102:O102" si="204">L21</f>
        <v>1179</v>
      </c>
      <c r="M102" s="5">
        <f t="shared" si="204"/>
        <v>1583</v>
      </c>
      <c r="N102" s="5">
        <f t="shared" si="204"/>
        <v>1571</v>
      </c>
      <c r="O102" s="5">
        <f t="shared" si="204"/>
        <v>2383</v>
      </c>
      <c r="P102" s="5">
        <f t="shared" ref="P102:R102" si="205">P21</f>
        <v>2243</v>
      </c>
      <c r="Q102" s="5">
        <f t="shared" si="205"/>
        <v>1969</v>
      </c>
      <c r="R102" s="5">
        <f t="shared" si="205"/>
        <v>1715</v>
      </c>
      <c r="S102" s="5">
        <f t="shared" ref="S102:T102" si="206">S21</f>
        <v>1609</v>
      </c>
      <c r="T102" s="5">
        <f t="shared" si="206"/>
        <v>1761</v>
      </c>
      <c r="U102" s="5">
        <f t="shared" ref="U102:Y102" si="207">U21</f>
        <v>2064</v>
      </c>
      <c r="V102" s="5">
        <f t="shared" si="207"/>
        <v>3112</v>
      </c>
      <c r="W102" s="5">
        <f t="shared" si="207"/>
        <v>2108</v>
      </c>
      <c r="X102" s="5">
        <f t="shared" si="207"/>
        <v>2541</v>
      </c>
      <c r="Y102" s="5">
        <f t="shared" si="207"/>
        <v>2840</v>
      </c>
      <c r="Z102" s="5">
        <f t="shared" ref="Z102:AA102" si="208">Z21</f>
        <v>2869</v>
      </c>
      <c r="AA102" s="5">
        <f t="shared" si="208"/>
        <v>3045</v>
      </c>
      <c r="AB102" s="5">
        <f t="shared" ref="AB102" si="209">AB21</f>
        <v>3206</v>
      </c>
    </row>
    <row r="103" spans="1:28" x14ac:dyDescent="0.3">
      <c r="A103" s="85" t="s">
        <v>155</v>
      </c>
      <c r="B103" s="21">
        <f>-B54</f>
        <v>-2145</v>
      </c>
      <c r="C103" s="21">
        <f t="shared" ref="C103:I103" si="210">-C54</f>
        <v>-2209</v>
      </c>
      <c r="D103" s="21">
        <f t="shared" si="210"/>
        <v>-2193</v>
      </c>
      <c r="E103" s="21">
        <f t="shared" si="210"/>
        <v>-2245</v>
      </c>
      <c r="F103" s="21">
        <f t="shared" si="210"/>
        <v>-2647</v>
      </c>
      <c r="G103" s="21">
        <f t="shared" si="210"/>
        <v>-2795</v>
      </c>
      <c r="H103" s="21">
        <f t="shared" si="210"/>
        <v>-2898</v>
      </c>
      <c r="I103" s="21">
        <f t="shared" si="210"/>
        <v>-2436</v>
      </c>
      <c r="J103" s="21">
        <f>-J54</f>
        <v>-2559</v>
      </c>
      <c r="K103" s="21">
        <f>-K54</f>
        <v>-2697</v>
      </c>
      <c r="L103" s="21">
        <f t="shared" ref="L103:O103" si="211">-L54</f>
        <v>-2595</v>
      </c>
      <c r="M103" s="21">
        <f t="shared" si="211"/>
        <v>-2592</v>
      </c>
      <c r="N103" s="21">
        <f t="shared" si="211"/>
        <v>-2575</v>
      </c>
      <c r="O103" s="21">
        <f t="shared" si="211"/>
        <v>-2502</v>
      </c>
      <c r="P103" s="21">
        <f t="shared" ref="P103:R103" si="212">-P54</f>
        <v>-2447</v>
      </c>
      <c r="Q103" s="21">
        <f t="shared" si="212"/>
        <v>-2547</v>
      </c>
      <c r="R103" s="21">
        <f t="shared" si="212"/>
        <v>-2796</v>
      </c>
      <c r="S103" s="21">
        <f t="shared" ref="S103:T103" si="213">-S54</f>
        <v>-2974</v>
      </c>
      <c r="T103" s="21">
        <f t="shared" si="213"/>
        <v>-3016</v>
      </c>
      <c r="U103" s="21">
        <f t="shared" ref="U103:Y103" si="214">-U54</f>
        <v>-2930</v>
      </c>
      <c r="V103" s="21">
        <f t="shared" si="214"/>
        <v>-2547</v>
      </c>
      <c r="W103" s="21">
        <f t="shared" si="214"/>
        <v>-3064</v>
      </c>
      <c r="X103" s="21">
        <f t="shared" si="214"/>
        <v>-3061</v>
      </c>
      <c r="Y103" s="21">
        <f t="shared" si="214"/>
        <v>-3015</v>
      </c>
      <c r="Z103" s="21">
        <f t="shared" ref="Z103:AA103" si="215">-Z54</f>
        <v>-2628</v>
      </c>
      <c r="AA103" s="21">
        <f t="shared" si="215"/>
        <v>-2636</v>
      </c>
      <c r="AB103" s="21">
        <f t="shared" ref="AB103" si="216">-AB54</f>
        <v>-2551</v>
      </c>
    </row>
    <row r="104" spans="1:28" x14ac:dyDescent="0.3">
      <c r="A104" s="85" t="s">
        <v>156</v>
      </c>
      <c r="B104" s="21">
        <f>B102+B103</f>
        <v>-2145</v>
      </c>
      <c r="C104" s="21">
        <f t="shared" ref="C104:I104" si="217">C102+C103</f>
        <v>-1586</v>
      </c>
      <c r="D104" s="21">
        <f t="shared" si="217"/>
        <v>-1650</v>
      </c>
      <c r="E104" s="21">
        <f t="shared" si="217"/>
        <v>-1394</v>
      </c>
      <c r="F104" s="21">
        <f t="shared" si="217"/>
        <v>-2249</v>
      </c>
      <c r="G104" s="21">
        <f t="shared" si="217"/>
        <v>-2393</v>
      </c>
      <c r="H104" s="21">
        <f t="shared" si="217"/>
        <v>-2341</v>
      </c>
      <c r="I104" s="21">
        <f t="shared" si="217"/>
        <v>-1283</v>
      </c>
      <c r="J104" s="21">
        <f>J102+J103</f>
        <v>-1552</v>
      </c>
      <c r="K104" s="21">
        <f>K102+K103</f>
        <v>-1628</v>
      </c>
      <c r="L104" s="21">
        <f t="shared" ref="L104:O104" si="218">L102+L103</f>
        <v>-1416</v>
      </c>
      <c r="M104" s="21">
        <f t="shared" si="218"/>
        <v>-1009</v>
      </c>
      <c r="N104" s="21">
        <f t="shared" si="218"/>
        <v>-1004</v>
      </c>
      <c r="O104" s="21">
        <f t="shared" si="218"/>
        <v>-119</v>
      </c>
      <c r="P104" s="21">
        <f t="shared" ref="P104:R104" si="219">P102+P103</f>
        <v>-204</v>
      </c>
      <c r="Q104" s="21">
        <f t="shared" si="219"/>
        <v>-578</v>
      </c>
      <c r="R104" s="21">
        <f t="shared" si="219"/>
        <v>-1081</v>
      </c>
      <c r="S104" s="21">
        <f t="shared" ref="S104:T104" si="220">S102+S103</f>
        <v>-1365</v>
      </c>
      <c r="T104" s="21">
        <f t="shared" si="220"/>
        <v>-1255</v>
      </c>
      <c r="U104" s="21">
        <f t="shared" ref="U104:Y104" si="221">U102+U103</f>
        <v>-866</v>
      </c>
      <c r="V104" s="21">
        <f t="shared" si="221"/>
        <v>565</v>
      </c>
      <c r="W104" s="21">
        <f t="shared" si="221"/>
        <v>-956</v>
      </c>
      <c r="X104" s="21">
        <f t="shared" si="221"/>
        <v>-520</v>
      </c>
      <c r="Y104" s="21">
        <f t="shared" si="221"/>
        <v>-175</v>
      </c>
      <c r="Z104" s="21">
        <f t="shared" ref="Z104:AA104" si="222">Z102+Z103</f>
        <v>241</v>
      </c>
      <c r="AA104" s="21">
        <f t="shared" si="222"/>
        <v>409</v>
      </c>
      <c r="AB104" s="21">
        <f t="shared" ref="AB104" si="223">AB102+AB103</f>
        <v>655</v>
      </c>
    </row>
    <row r="105" spans="1:28" x14ac:dyDescent="0.3">
      <c r="A105" s="85" t="s">
        <v>157</v>
      </c>
      <c r="B105" s="25">
        <f>IFERROR((B72-B104)/B66,"")</f>
        <v>-4.2061005770816156</v>
      </c>
      <c r="C105" s="25">
        <f t="shared" ref="C105:K105" si="224">IFERROR((C72-C104)/C66,"")</f>
        <v>-10.788659793814434</v>
      </c>
      <c r="D105" s="25">
        <f t="shared" si="224"/>
        <v>-91.607843137254903</v>
      </c>
      <c r="E105" s="25">
        <f t="shared" si="224"/>
        <v>127.9</v>
      </c>
      <c r="F105" s="25">
        <f t="shared" si="224"/>
        <v>-7.8551912568306008</v>
      </c>
      <c r="G105" s="25">
        <f t="shared" si="224"/>
        <v>-9.2050520059435357</v>
      </c>
      <c r="H105" s="25">
        <f t="shared" si="224"/>
        <v>36.546583850931675</v>
      </c>
      <c r="I105" s="25">
        <f t="shared" si="224"/>
        <v>4.0377358490566042</v>
      </c>
      <c r="J105" s="25">
        <f t="shared" si="224"/>
        <v>5.0940540540540544</v>
      </c>
      <c r="K105" s="25">
        <f t="shared" si="224"/>
        <v>3.6248955722639935</v>
      </c>
      <c r="L105" s="25">
        <f t="shared" ref="L105:O105" si="225">IFERROR((L72-L104)/L66,"")</f>
        <v>1.1770459732637757</v>
      </c>
      <c r="M105" s="25">
        <f t="shared" si="225"/>
        <v>0.98372299496892568</v>
      </c>
      <c r="N105" s="25">
        <f t="shared" si="225"/>
        <v>0.98125188993045054</v>
      </c>
      <c r="O105" s="25">
        <f t="shared" si="225"/>
        <v>0.62887125671871003</v>
      </c>
      <c r="P105" s="25">
        <f t="shared" ref="P105:R105" si="226">IFERROR((P72-P104)/P66,"")</f>
        <v>0.43076923076923079</v>
      </c>
      <c r="Q105" s="25">
        <f t="shared" si="226"/>
        <v>1.7674702471772963</v>
      </c>
      <c r="R105" s="25">
        <f t="shared" si="226"/>
        <v>1.4901185770750989</v>
      </c>
      <c r="S105" s="25">
        <f t="shared" ref="S105:T105" si="227">IFERROR((S72-S104)/S66,"")</f>
        <v>1.4542483660130718</v>
      </c>
      <c r="T105" s="25">
        <f t="shared" si="227"/>
        <v>1.1738807815978234</v>
      </c>
      <c r="U105" s="25">
        <f t="shared" ref="U105:Y105" si="228">IFERROR((U72-U104)/U66,"")</f>
        <v>0.95886363636363636</v>
      </c>
      <c r="V105" s="25">
        <f t="shared" si="228"/>
        <v>0.93874677305796761</v>
      </c>
      <c r="W105" s="25">
        <f t="shared" si="228"/>
        <v>2.9348996573666177</v>
      </c>
      <c r="X105" s="25">
        <f t="shared" si="228"/>
        <v>3.4443148688046645</v>
      </c>
      <c r="Y105" s="25">
        <f t="shared" si="228"/>
        <v>3.3020408163265307</v>
      </c>
      <c r="Z105" s="25">
        <f t="shared" ref="Z105:AA105" si="229">IFERROR((Z72-Z104)/Z66,"")</f>
        <v>7.2367256637168138</v>
      </c>
      <c r="AA105" s="25">
        <f t="shared" si="229"/>
        <v>12.554592720970538</v>
      </c>
      <c r="AB105" s="25">
        <f t="shared" ref="AB105" si="230">IFERROR((AB72-AB104)/AB66,"")</f>
        <v>50.517241379310342</v>
      </c>
    </row>
    <row r="106" spans="1:28" x14ac:dyDescent="0.3">
      <c r="A106" s="85" t="s">
        <v>158</v>
      </c>
      <c r="B106" s="25">
        <f ca="1">IFERROR((B75-B104)/B66,"")</f>
        <v>-6.1277823577906014</v>
      </c>
      <c r="C106" s="25">
        <f t="shared" ref="C106:K106" ca="1" si="231">IFERROR((C75-C104)/C66,"")</f>
        <v>-16.796391752577321</v>
      </c>
      <c r="D106" s="25">
        <f t="shared" ca="1" si="231"/>
        <v>-137.31372549019608</v>
      </c>
      <c r="E106" s="25">
        <f t="shared" ca="1" si="231"/>
        <v>186.17500000000001</v>
      </c>
      <c r="F106" s="25">
        <f t="shared" ca="1" si="231"/>
        <v>-11.51775956284153</v>
      </c>
      <c r="G106" s="25">
        <f t="shared" ca="1" si="231"/>
        <v>-13.479940564635958</v>
      </c>
      <c r="H106" s="25">
        <f t="shared" ca="1" si="231"/>
        <v>55.677018633540371</v>
      </c>
      <c r="I106" s="25">
        <f t="shared" ca="1" si="231"/>
        <v>6.6907301066447911</v>
      </c>
      <c r="J106" s="25">
        <f t="shared" ca="1" si="231"/>
        <v>8.6659459459459462</v>
      </c>
      <c r="K106" s="25">
        <f t="shared" ca="1" si="231"/>
        <v>6.4903926482873855</v>
      </c>
      <c r="L106" s="25">
        <f t="shared" ref="L106:O106" ca="1" si="232">IFERROR((L75-L104)/L66,"")</f>
        <v>2.3113791979132703</v>
      </c>
      <c r="M106" s="25">
        <f t="shared" ca="1" si="232"/>
        <v>2.0257472625036992</v>
      </c>
      <c r="N106" s="25">
        <f t="shared" ca="1" si="232"/>
        <v>2.0523132748714845</v>
      </c>
      <c r="O106" s="25">
        <f t="shared" ca="1" si="232"/>
        <v>1.5229076017404659</v>
      </c>
      <c r="P106" s="25">
        <f t="shared" ref="P106:R106" ca="1" si="233">IFERROR((P75-P104)/P66,"")</f>
        <v>1.216923076923077</v>
      </c>
      <c r="Q106" s="25">
        <f t="shared" ca="1" si="233"/>
        <v>2.8739700945987185</v>
      </c>
      <c r="R106" s="25">
        <f t="shared" si="233"/>
        <v>1.4901185770750989</v>
      </c>
      <c r="S106" s="25">
        <f t="shared" ref="S106:T106" si="234">IFERROR((S75-S104)/S66,"")</f>
        <v>1.4542483660130718</v>
      </c>
      <c r="T106" s="25">
        <f t="shared" si="234"/>
        <v>1.1738807815978234</v>
      </c>
      <c r="U106" s="25">
        <f t="shared" ref="U106:Y106" si="235">IFERROR((U75-U104)/U66,"")</f>
        <v>0.95886363636363636</v>
      </c>
      <c r="V106" s="25">
        <f t="shared" si="235"/>
        <v>0.93874677305796761</v>
      </c>
      <c r="W106" s="25">
        <f t="shared" si="235"/>
        <v>2.9348996573666177</v>
      </c>
      <c r="X106" s="25">
        <f t="shared" si="235"/>
        <v>3.4443148688046645</v>
      </c>
      <c r="Y106" s="25">
        <f t="shared" si="235"/>
        <v>3.3020408163265307</v>
      </c>
      <c r="Z106" s="25">
        <f t="shared" ref="Z106:AA106" si="236">IFERROR((Z75-Z104)/Z66,"")</f>
        <v>7.2367256637168138</v>
      </c>
      <c r="AA106" s="25">
        <f t="shared" si="236"/>
        <v>12.554592720970538</v>
      </c>
      <c r="AB106" s="25">
        <f t="shared" ref="AB106" si="237">IFERROR((AB75-AB104)/AB66,"")</f>
        <v>50.517241379310342</v>
      </c>
    </row>
    <row r="107" spans="1:28" x14ac:dyDescent="0.3">
      <c r="A107" s="8" t="s">
        <v>159</v>
      </c>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row>
    <row r="108" spans="1:28" x14ac:dyDescent="0.3">
      <c r="A108" s="85" t="s">
        <v>160</v>
      </c>
      <c r="B108" s="21">
        <f>B33</f>
        <v>4145</v>
      </c>
      <c r="C108" s="21">
        <f t="shared" ref="C108:I108" si="238">C33</f>
        <v>4293</v>
      </c>
      <c r="D108" s="21">
        <f t="shared" si="238"/>
        <v>4386</v>
      </c>
      <c r="E108" s="21">
        <f t="shared" si="238"/>
        <v>4125</v>
      </c>
      <c r="F108" s="21">
        <f t="shared" si="238"/>
        <v>4282</v>
      </c>
      <c r="G108" s="21">
        <f t="shared" si="238"/>
        <v>4454</v>
      </c>
      <c r="H108" s="21">
        <f t="shared" si="238"/>
        <v>4724</v>
      </c>
      <c r="I108" s="21">
        <f t="shared" si="238"/>
        <v>4347</v>
      </c>
      <c r="J108" s="21">
        <f>J33</f>
        <v>4921</v>
      </c>
      <c r="K108" s="21">
        <f>K33</f>
        <v>5380</v>
      </c>
      <c r="L108" s="21">
        <f t="shared" ref="L108:O108" si="239">L33</f>
        <v>5486</v>
      </c>
      <c r="M108" s="21">
        <f t="shared" si="239"/>
        <v>5297</v>
      </c>
      <c r="N108" s="21">
        <f t="shared" si="239"/>
        <v>5978</v>
      </c>
      <c r="O108" s="21">
        <f t="shared" si="239"/>
        <v>6574</v>
      </c>
      <c r="P108" s="21">
        <f t="shared" ref="P108:R108" si="240">P33</f>
        <v>6594</v>
      </c>
      <c r="Q108" s="21">
        <f t="shared" si="240"/>
        <v>6301</v>
      </c>
      <c r="R108" s="21">
        <f t="shared" si="240"/>
        <v>7454</v>
      </c>
      <c r="S108" s="21">
        <f t="shared" ref="S108:T108" si="241">S33</f>
        <v>7612</v>
      </c>
      <c r="T108" s="21">
        <f t="shared" si="241"/>
        <v>7415</v>
      </c>
      <c r="U108" s="21">
        <f t="shared" ref="U108:Y108" si="242">U33</f>
        <v>7516</v>
      </c>
      <c r="V108" s="21">
        <f t="shared" si="242"/>
        <v>7278</v>
      </c>
      <c r="W108" s="21">
        <f t="shared" si="242"/>
        <v>9797</v>
      </c>
      <c r="X108" s="21">
        <f t="shared" si="242"/>
        <v>8743</v>
      </c>
      <c r="Y108" s="21">
        <f t="shared" si="242"/>
        <v>8671</v>
      </c>
      <c r="Z108" s="21">
        <f t="shared" ref="Z108:AA108" si="243">Z33</f>
        <v>7123</v>
      </c>
      <c r="AA108" s="21">
        <f t="shared" si="243"/>
        <v>6152</v>
      </c>
      <c r="AB108" s="21">
        <f t="shared" ref="AB108" si="244">AB33</f>
        <v>9859</v>
      </c>
    </row>
    <row r="109" spans="1:28" x14ac:dyDescent="0.3">
      <c r="A109" s="85" t="s">
        <v>161</v>
      </c>
      <c r="B109" s="21">
        <f>-B43</f>
        <v>-4240</v>
      </c>
      <c r="C109" s="21">
        <f t="shared" ref="C109:I109" si="245">-C43</f>
        <v>-4346</v>
      </c>
      <c r="D109" s="21">
        <f t="shared" si="245"/>
        <v>-3855</v>
      </c>
      <c r="E109" s="21">
        <f t="shared" si="245"/>
        <v>-3829</v>
      </c>
      <c r="F109" s="21">
        <f t="shared" si="245"/>
        <v>-4538</v>
      </c>
      <c r="G109" s="21">
        <f t="shared" si="245"/>
        <v>-4950</v>
      </c>
      <c r="H109" s="21">
        <f t="shared" si="245"/>
        <v>-4363</v>
      </c>
      <c r="I109" s="21">
        <f t="shared" si="245"/>
        <v>-4424</v>
      </c>
      <c r="J109" s="21">
        <f>-J43</f>
        <v>-5261</v>
      </c>
      <c r="K109" s="21">
        <f>-K43</f>
        <v>-5684</v>
      </c>
      <c r="L109" s="21">
        <f t="shared" ref="L109:O109" si="246">-L43</f>
        <v>-5017</v>
      </c>
      <c r="M109" s="21">
        <f t="shared" si="246"/>
        <v>-5060</v>
      </c>
      <c r="N109" s="21">
        <f t="shared" si="246"/>
        <v>-5716</v>
      </c>
      <c r="O109" s="21">
        <f t="shared" si="246"/>
        <v>-5916</v>
      </c>
      <c r="P109" s="21">
        <f t="shared" ref="P109:R109" si="247">-P43</f>
        <v>-5221</v>
      </c>
      <c r="Q109" s="21">
        <f t="shared" si="247"/>
        <v>-5676</v>
      </c>
      <c r="R109" s="21">
        <f t="shared" si="247"/>
        <v>-8001</v>
      </c>
      <c r="S109" s="21">
        <f t="shared" ref="S109:T109" si="248">-S43</f>
        <v>-8475</v>
      </c>
      <c r="T109" s="21">
        <f t="shared" si="248"/>
        <v>-7838</v>
      </c>
      <c r="U109" s="21">
        <f t="shared" ref="U109:Y109" si="249">-U43</f>
        <v>-7775</v>
      </c>
      <c r="V109" s="21">
        <f t="shared" si="249"/>
        <v>-6428</v>
      </c>
      <c r="W109" s="21">
        <f t="shared" si="249"/>
        <v>-8374</v>
      </c>
      <c r="X109" s="21">
        <f t="shared" si="249"/>
        <v>-7236</v>
      </c>
      <c r="Y109" s="21">
        <f t="shared" si="249"/>
        <v>-7139</v>
      </c>
      <c r="Z109" s="21">
        <f t="shared" ref="Z109:AA109" si="250">-Z43</f>
        <v>-6900</v>
      </c>
      <c r="AA109" s="21">
        <f t="shared" si="250"/>
        <v>-5646</v>
      </c>
      <c r="AB109" s="21">
        <f t="shared" ref="AB109" si="251">-AB43</f>
        <v>-6149</v>
      </c>
    </row>
    <row r="110" spans="1:28" x14ac:dyDescent="0.3">
      <c r="A110" s="85" t="s">
        <v>162</v>
      </c>
      <c r="B110" s="21">
        <f>B24</f>
        <v>7436</v>
      </c>
      <c r="C110" s="21">
        <f t="shared" ref="C110:I110" si="252">C24</f>
        <v>8081</v>
      </c>
      <c r="D110" s="21">
        <f t="shared" si="252"/>
        <v>8369</v>
      </c>
      <c r="E110" s="21">
        <f t="shared" si="252"/>
        <v>9002</v>
      </c>
      <c r="F110" s="21">
        <f t="shared" si="252"/>
        <v>9221</v>
      </c>
      <c r="G110" s="21">
        <f t="shared" si="252"/>
        <v>10085</v>
      </c>
      <c r="H110" s="21">
        <f t="shared" si="252"/>
        <v>10126</v>
      </c>
      <c r="I110" s="21">
        <f t="shared" si="252"/>
        <v>10767</v>
      </c>
      <c r="J110" s="21">
        <f>J24</f>
        <v>10943</v>
      </c>
      <c r="K110" s="21">
        <f>K24</f>
        <v>11278</v>
      </c>
      <c r="L110" s="21">
        <f t="shared" ref="L110:O110" si="253">L24</f>
        <v>11935</v>
      </c>
      <c r="M110" s="21">
        <f t="shared" si="253"/>
        <v>12401</v>
      </c>
      <c r="N110" s="21">
        <f t="shared" si="253"/>
        <v>12992</v>
      </c>
      <c r="O110" s="21">
        <f t="shared" si="253"/>
        <v>13563</v>
      </c>
      <c r="P110" s="21">
        <f t="shared" ref="P110:R110" si="254">P24</f>
        <v>13183</v>
      </c>
      <c r="Q110" s="21">
        <f t="shared" si="254"/>
        <v>15582</v>
      </c>
      <c r="R110" s="21">
        <f t="shared" si="254"/>
        <v>19777</v>
      </c>
      <c r="S110" s="21">
        <f t="shared" ref="S110:T110" si="255">S24</f>
        <v>20048</v>
      </c>
      <c r="T110" s="21">
        <f t="shared" si="255"/>
        <v>20082</v>
      </c>
      <c r="U110" s="21">
        <f t="shared" ref="U110:Y110" si="256">U24</f>
        <v>20243</v>
      </c>
      <c r="V110" s="21">
        <f t="shared" si="256"/>
        <v>21058</v>
      </c>
      <c r="W110" s="21">
        <f t="shared" si="256"/>
        <v>19608</v>
      </c>
      <c r="X110" s="21">
        <f t="shared" si="256"/>
        <v>19816</v>
      </c>
      <c r="Y110" s="21">
        <f t="shared" si="256"/>
        <v>20242</v>
      </c>
      <c r="Z110" s="21">
        <f t="shared" ref="Z110:AA110" si="257">Z24</f>
        <v>20341</v>
      </c>
      <c r="AA110" s="21">
        <f t="shared" si="257"/>
        <v>20352</v>
      </c>
      <c r="AB110" s="21">
        <f t="shared" ref="AB110" si="258">AB24</f>
        <v>20441</v>
      </c>
    </row>
    <row r="111" spans="1:28" x14ac:dyDescent="0.3">
      <c r="A111" s="85" t="s">
        <v>163</v>
      </c>
      <c r="B111" s="21">
        <f>-B57</f>
        <v>-3302</v>
      </c>
      <c r="C111" s="21">
        <f t="shared" ref="C111:I111" si="259">-C57</f>
        <v>-3323</v>
      </c>
      <c r="D111" s="21">
        <f t="shared" si="259"/>
        <v>-3375</v>
      </c>
      <c r="E111" s="21">
        <f t="shared" si="259"/>
        <v>-3388</v>
      </c>
      <c r="F111" s="21">
        <f t="shared" si="259"/>
        <v>-3706</v>
      </c>
      <c r="G111" s="21">
        <f t="shared" si="259"/>
        <v>-3861</v>
      </c>
      <c r="H111" s="21">
        <f t="shared" si="259"/>
        <v>-3976</v>
      </c>
      <c r="I111" s="21">
        <f t="shared" si="259"/>
        <v>-3560</v>
      </c>
      <c r="J111" s="21">
        <f>-J57</f>
        <v>-3719</v>
      </c>
      <c r="K111" s="21">
        <f>-K57</f>
        <v>-3883</v>
      </c>
      <c r="L111" s="21">
        <f t="shared" ref="L111:O111" si="260">-L57</f>
        <v>-3777</v>
      </c>
      <c r="M111" s="21">
        <f t="shared" si="260"/>
        <v>-3811</v>
      </c>
      <c r="N111" s="21">
        <f t="shared" si="260"/>
        <v>-3830</v>
      </c>
      <c r="O111" s="21">
        <f t="shared" si="260"/>
        <v>-3747</v>
      </c>
      <c r="P111" s="21">
        <f t="shared" ref="P111:R111" si="261">-P57</f>
        <v>-3760</v>
      </c>
      <c r="Q111" s="21">
        <f t="shared" si="261"/>
        <v>-4057</v>
      </c>
      <c r="R111" s="21">
        <f t="shared" si="261"/>
        <v>-7527</v>
      </c>
      <c r="S111" s="21">
        <f t="shared" ref="S111:T111" si="262">-S57</f>
        <v>-7617</v>
      </c>
      <c r="T111" s="21">
        <f t="shared" si="262"/>
        <v>-7500</v>
      </c>
      <c r="U111" s="21">
        <f t="shared" ref="U111:Y111" si="263">-U57</f>
        <v>-7560</v>
      </c>
      <c r="V111" s="21">
        <f t="shared" si="263"/>
        <v>-7997</v>
      </c>
      <c r="W111" s="21">
        <f t="shared" si="263"/>
        <v>-8540</v>
      </c>
      <c r="X111" s="21">
        <f t="shared" si="263"/>
        <v>-8447</v>
      </c>
      <c r="Y111" s="21">
        <f t="shared" si="263"/>
        <v>-8858</v>
      </c>
      <c r="Z111" s="21">
        <f t="shared" ref="Z111:AA111" si="264">-Z57</f>
        <v>-8538</v>
      </c>
      <c r="AA111" s="21">
        <f t="shared" si="264"/>
        <v>-8547</v>
      </c>
      <c r="AB111" s="21">
        <f t="shared" ref="AB111" si="265">-AB57</f>
        <v>-8339</v>
      </c>
    </row>
    <row r="112" spans="1:28" x14ac:dyDescent="0.3">
      <c r="A112" s="85" t="s">
        <v>164</v>
      </c>
      <c r="B112" s="21">
        <f>SUM(B108:B111)</f>
        <v>4039</v>
      </c>
      <c r="C112" s="21">
        <f t="shared" ref="C112:I112" si="266">SUM(C108:C111)</f>
        <v>4705</v>
      </c>
      <c r="D112" s="21">
        <f t="shared" si="266"/>
        <v>5525</v>
      </c>
      <c r="E112" s="21">
        <f t="shared" si="266"/>
        <v>5910</v>
      </c>
      <c r="F112" s="21">
        <f t="shared" si="266"/>
        <v>5259</v>
      </c>
      <c r="G112" s="21">
        <f t="shared" si="266"/>
        <v>5728</v>
      </c>
      <c r="H112" s="21">
        <f t="shared" si="266"/>
        <v>6511</v>
      </c>
      <c r="I112" s="21">
        <f t="shared" si="266"/>
        <v>7130</v>
      </c>
      <c r="J112" s="21">
        <f>SUM(J108:J111)</f>
        <v>6884</v>
      </c>
      <c r="K112" s="21">
        <f>SUM(K108:K111)</f>
        <v>7091</v>
      </c>
      <c r="L112" s="21">
        <f t="shared" ref="L112:O112" si="267">SUM(L108:L111)</f>
        <v>8627</v>
      </c>
      <c r="M112" s="21">
        <f t="shared" si="267"/>
        <v>8827</v>
      </c>
      <c r="N112" s="21">
        <f t="shared" si="267"/>
        <v>9424</v>
      </c>
      <c r="O112" s="21">
        <f t="shared" si="267"/>
        <v>10474</v>
      </c>
      <c r="P112" s="21">
        <f t="shared" ref="P112:R112" si="268">SUM(P108:P111)</f>
        <v>10796</v>
      </c>
      <c r="Q112" s="21">
        <f t="shared" si="268"/>
        <v>12150</v>
      </c>
      <c r="R112" s="21">
        <f t="shared" si="268"/>
        <v>11703</v>
      </c>
      <c r="S112" s="21">
        <f t="shared" ref="S112:T112" si="269">SUM(S108:S111)</f>
        <v>11568</v>
      </c>
      <c r="T112" s="21">
        <f t="shared" si="269"/>
        <v>12159</v>
      </c>
      <c r="U112" s="21">
        <f t="shared" ref="U112:Y112" si="270">SUM(U108:U111)</f>
        <v>12424</v>
      </c>
      <c r="V112" s="21">
        <f t="shared" si="270"/>
        <v>13911</v>
      </c>
      <c r="W112" s="21">
        <f t="shared" si="270"/>
        <v>12491</v>
      </c>
      <c r="X112" s="21">
        <f t="shared" si="270"/>
        <v>12876</v>
      </c>
      <c r="Y112" s="21">
        <f t="shared" si="270"/>
        <v>12916</v>
      </c>
      <c r="Z112" s="21">
        <f t="shared" ref="Z112:AA112" si="271">SUM(Z108:Z111)</f>
        <v>12026</v>
      </c>
      <c r="AA112" s="21">
        <f t="shared" si="271"/>
        <v>12311</v>
      </c>
      <c r="AB112" s="21">
        <f t="shared" ref="AB112" si="272">SUM(AB108:AB111)</f>
        <v>15812</v>
      </c>
    </row>
    <row r="113" spans="1:28" x14ac:dyDescent="0.3">
      <c r="A113" s="8" t="s">
        <v>165</v>
      </c>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row>
    <row r="114" spans="1:28" x14ac:dyDescent="0.3">
      <c r="A114" s="85" t="s">
        <v>166</v>
      </c>
      <c r="B114" s="204">
        <f>IFERROR((B40/'Annual Inc Statement Reported'!B13)*12, "")</f>
        <v>2.4620804746894125</v>
      </c>
      <c r="C114" s="204">
        <f>IFERROR((C40/'Annual Inc Statement Reported'!C13)*12, "")</f>
        <v>2.4750258353427492</v>
      </c>
      <c r="D114" s="204">
        <f>IFERROR((D40/'Annual Inc Statement Reported'!D13)*12, "")</f>
        <v>1.8227722772277226</v>
      </c>
      <c r="E114" s="204">
        <f>IFERROR((E40/'Annual Inc Statement Reported'!E13)*12, "")</f>
        <v>1.7619124535616217</v>
      </c>
      <c r="F114" s="204">
        <f>IFERROR((F40/'Annual Inc Statement Reported'!F13)*12, "")</f>
        <v>2.0858951175406872</v>
      </c>
      <c r="G114" s="204">
        <f>IFERROR((G40/'Annual Inc Statement Reported'!G13)*12, "")</f>
        <v>2.3328526103259302</v>
      </c>
      <c r="H114" s="204">
        <f>IFERROR((H40/'Annual Inc Statement Reported'!H13)*12, "")</f>
        <v>1.6221298630510321</v>
      </c>
      <c r="I114" s="204">
        <f>IFERROR((I40/'Annual Inc Statement Reported'!M13)*12, "")</f>
        <v>5.5329181494661919</v>
      </c>
      <c r="J114" s="204" t="str">
        <f>IFERROR((J40/'Annual Inc Statement Reported'!N13)*12, "")</f>
        <v/>
      </c>
      <c r="K114" s="204" t="str">
        <f>IFERROR((K40/'Annual Inc Statement Reported'!O13)*12, "")</f>
        <v/>
      </c>
      <c r="L114" s="204" t="str">
        <f>IFERROR((L40/'Annual Inc Statement Reported'!P13)*12, "")</f>
        <v/>
      </c>
      <c r="M114" s="204" t="str">
        <f>IFERROR((M40/'Annual Inc Statement Reported'!Q13)*12, "")</f>
        <v/>
      </c>
      <c r="N114" s="204" t="str">
        <f>IFERROR((N40/'Annual Inc Statement Reported'!R13)*12, "")</f>
        <v/>
      </c>
      <c r="O114" s="204" t="str">
        <f>IFERROR((O40/'Annual Inc Statement Reported'!S13)*12, "")</f>
        <v/>
      </c>
      <c r="P114" s="204" t="str">
        <f>IFERROR((P40/'Annual Inc Statement Reported'!T13)*12, "")</f>
        <v/>
      </c>
      <c r="Q114" s="204" t="str">
        <f>IFERROR((Q40/'Annual Inc Statement Reported'!U13)*12, "")</f>
        <v/>
      </c>
      <c r="R114" s="204" t="str">
        <f>IFERROR((R40/'Annual Inc Statement Reported'!V13)*12, "")</f>
        <v/>
      </c>
      <c r="S114" s="204" t="str">
        <f>IFERROR((S40/'Annual Inc Statement Reported'!W13)*12, "")</f>
        <v/>
      </c>
      <c r="T114" s="204" t="str">
        <f>IFERROR((T40/'Annual Inc Statement Reported'!X13)*12, "")</f>
        <v/>
      </c>
      <c r="U114" s="204" t="str">
        <f>IFERROR((U40/'Annual Inc Statement Reported'!Y13)*12, "")</f>
        <v/>
      </c>
      <c r="V114" s="204" t="str">
        <f>IFERROR((V40/'Annual Inc Statement Reported'!Z13)*12, "")</f>
        <v/>
      </c>
      <c r="W114" s="204" t="str">
        <f>IFERROR((W40/'Annual Inc Statement Reported'!AA13)*12, "")</f>
        <v/>
      </c>
      <c r="X114" s="204" t="str">
        <f>IFERROR((X40/'Annual Inc Statement Reported'!AB13)*12, "")</f>
        <v/>
      </c>
      <c r="Y114" s="204" t="str">
        <f>IFERROR((Y40/'Annual Inc Statement Reported'!AC13)*12, "")</f>
        <v/>
      </c>
      <c r="Z114" s="204" t="str">
        <f>IFERROR((Z40/'Annual Inc Statement Reported'!AD13)*12, "")</f>
        <v/>
      </c>
      <c r="AA114" s="204" t="str">
        <f>IFERROR((AA40/'Annual Inc Statement Reported'!AE13)*12, "")</f>
        <v/>
      </c>
      <c r="AB114" s="204" t="str">
        <f>IFERROR((AB40/'Annual Inc Statement Reported'!AF13)*12, "")</f>
        <v/>
      </c>
    </row>
    <row r="115" spans="1:28" x14ac:dyDescent="0.3">
      <c r="A115" s="85" t="s">
        <v>167</v>
      </c>
      <c r="B115" s="21">
        <f>B44</f>
        <v>-95</v>
      </c>
      <c r="C115" s="21">
        <f t="shared" ref="C115:K115" si="273">C44</f>
        <v>-53</v>
      </c>
      <c r="D115" s="21">
        <f t="shared" si="273"/>
        <v>531</v>
      </c>
      <c r="E115" s="21">
        <f t="shared" si="273"/>
        <v>296</v>
      </c>
      <c r="F115" s="21">
        <f t="shared" si="273"/>
        <v>-256</v>
      </c>
      <c r="G115" s="21">
        <f t="shared" si="273"/>
        <v>-496</v>
      </c>
      <c r="H115" s="21">
        <f t="shared" si="273"/>
        <v>361</v>
      </c>
      <c r="I115" s="21">
        <f t="shared" si="273"/>
        <v>-77</v>
      </c>
      <c r="J115" s="21">
        <f t="shared" si="273"/>
        <v>-340</v>
      </c>
      <c r="K115" s="21">
        <f t="shared" si="273"/>
        <v>-304</v>
      </c>
      <c r="L115" s="21">
        <f t="shared" ref="L115:O115" si="274">L44</f>
        <v>469</v>
      </c>
      <c r="M115" s="21">
        <f t="shared" si="274"/>
        <v>237</v>
      </c>
      <c r="N115" s="21">
        <f t="shared" si="274"/>
        <v>262</v>
      </c>
      <c r="O115" s="21">
        <f t="shared" si="274"/>
        <v>658</v>
      </c>
      <c r="P115" s="21">
        <f t="shared" ref="P115:R115" si="275">P44</f>
        <v>1373</v>
      </c>
      <c r="Q115" s="21">
        <f t="shared" si="275"/>
        <v>625</v>
      </c>
      <c r="R115" s="21">
        <f t="shared" si="275"/>
        <v>-547</v>
      </c>
      <c r="S115" s="21">
        <f t="shared" ref="S115:T115" si="276">S44</f>
        <v>-863</v>
      </c>
      <c r="T115" s="21">
        <f t="shared" si="276"/>
        <v>-423</v>
      </c>
      <c r="U115" s="21">
        <f t="shared" ref="U115:Y115" si="277">U44</f>
        <v>-259</v>
      </c>
      <c r="V115" s="21">
        <f t="shared" si="277"/>
        <v>850</v>
      </c>
      <c r="W115" s="21">
        <f t="shared" si="277"/>
        <v>1423</v>
      </c>
      <c r="X115" s="21">
        <f t="shared" si="277"/>
        <v>1507</v>
      </c>
      <c r="Y115" s="21">
        <f t="shared" si="277"/>
        <v>1532</v>
      </c>
      <c r="Z115" s="21">
        <f t="shared" ref="Z115:AA115" si="278">Z44</f>
        <v>223</v>
      </c>
      <c r="AA115" s="21">
        <f t="shared" si="278"/>
        <v>506</v>
      </c>
      <c r="AB115" s="21">
        <f t="shared" ref="AB115" si="279">AB44</f>
        <v>3710</v>
      </c>
    </row>
    <row r="116" spans="1:28" x14ac:dyDescent="0.3">
      <c r="A116" s="85" t="s">
        <v>168</v>
      </c>
      <c r="B116" s="25">
        <f>IFERROR(B33/B43,"")</f>
        <v>0.97759433962264153</v>
      </c>
      <c r="C116" s="25">
        <f t="shared" ref="C116:K116" si="280">IFERROR(C33/C43,"")</f>
        <v>0.98780487804878048</v>
      </c>
      <c r="D116" s="25">
        <f t="shared" si="280"/>
        <v>1.1377431906614786</v>
      </c>
      <c r="E116" s="25">
        <f t="shared" si="280"/>
        <v>1.0773047793157482</v>
      </c>
      <c r="F116" s="25">
        <f t="shared" si="280"/>
        <v>0.94358748347289556</v>
      </c>
      <c r="G116" s="25">
        <f t="shared" si="280"/>
        <v>0.89979797979797982</v>
      </c>
      <c r="H116" s="25">
        <f t="shared" si="280"/>
        <v>1.0827412330964932</v>
      </c>
      <c r="I116" s="25">
        <f t="shared" si="280"/>
        <v>0.98259493670886078</v>
      </c>
      <c r="J116" s="25">
        <f t="shared" si="280"/>
        <v>0.93537350313628587</v>
      </c>
      <c r="K116" s="25">
        <f t="shared" si="280"/>
        <v>0.94651653764954258</v>
      </c>
      <c r="L116" s="25">
        <f t="shared" ref="L116:O116" si="281">IFERROR(L33/L43,"")</f>
        <v>1.0934821606537772</v>
      </c>
      <c r="M116" s="25">
        <f t="shared" si="281"/>
        <v>1.0468379446640317</v>
      </c>
      <c r="N116" s="25">
        <f t="shared" si="281"/>
        <v>1.0458362491252624</v>
      </c>
      <c r="O116" s="25">
        <f t="shared" si="281"/>
        <v>1.1112237998647736</v>
      </c>
      <c r="P116" s="25">
        <f t="shared" ref="P116:R116" si="282">IFERROR(P33/P43,"")</f>
        <v>1.262976441294771</v>
      </c>
      <c r="Q116" s="25">
        <f t="shared" si="282"/>
        <v>1.1101127554615926</v>
      </c>
      <c r="R116" s="25">
        <f t="shared" si="282"/>
        <v>0.93163354580677415</v>
      </c>
      <c r="S116" s="25">
        <f t="shared" ref="S116:T116" si="283">IFERROR(S33/S43,"")</f>
        <v>0.89817109144542773</v>
      </c>
      <c r="T116" s="25">
        <f t="shared" si="283"/>
        <v>0.94603215105894356</v>
      </c>
      <c r="U116" s="25">
        <f t="shared" ref="U116:Y116" si="284">IFERROR(U33/U43,"")</f>
        <v>0.96668810289389062</v>
      </c>
      <c r="V116" s="25">
        <f t="shared" si="284"/>
        <v>1.1322339763534537</v>
      </c>
      <c r="W116" s="25">
        <f t="shared" si="284"/>
        <v>1.1699307379985671</v>
      </c>
      <c r="X116" s="25">
        <f t="shared" si="284"/>
        <v>1.2082642343836374</v>
      </c>
      <c r="Y116" s="25">
        <f t="shared" si="284"/>
        <v>1.2145958817761591</v>
      </c>
      <c r="Z116" s="25">
        <f t="shared" ref="Z116:AA116" si="285">IFERROR(Z33/Z43,"")</f>
        <v>1.0323188405797101</v>
      </c>
      <c r="AA116" s="25">
        <f t="shared" si="285"/>
        <v>1.0896209705986539</v>
      </c>
      <c r="AB116" s="25">
        <f t="shared" ref="AB116" si="286">IFERROR(AB33/AB43,"")</f>
        <v>1.6033501382338591</v>
      </c>
    </row>
    <row r="117" spans="1:28" x14ac:dyDescent="0.3">
      <c r="A117" s="85" t="s">
        <v>169</v>
      </c>
      <c r="B117" s="25">
        <f>IFERROR((B25+B26+B30)/B43,"")</f>
        <v>0.85518867924528297</v>
      </c>
      <c r="C117" s="25">
        <f t="shared" ref="C117:K117" si="287">IFERROR((C25+C26+C30)/C43,"")</f>
        <v>0.88426138978370916</v>
      </c>
      <c r="D117" s="25">
        <f t="shared" si="287"/>
        <v>1.0031128404669261</v>
      </c>
      <c r="E117" s="25">
        <f t="shared" si="287"/>
        <v>0.86863410812222508</v>
      </c>
      <c r="F117" s="25">
        <f t="shared" si="287"/>
        <v>0.81643895989422655</v>
      </c>
      <c r="G117" s="25">
        <f t="shared" si="287"/>
        <v>0.80060606060606065</v>
      </c>
      <c r="H117" s="25">
        <f t="shared" si="287"/>
        <v>0.96126518450607379</v>
      </c>
      <c r="I117" s="25">
        <f t="shared" si="287"/>
        <v>0.83318264014466548</v>
      </c>
      <c r="J117" s="25">
        <f t="shared" si="287"/>
        <v>0.83805360197681045</v>
      </c>
      <c r="K117" s="25">
        <f t="shared" si="287"/>
        <v>0.86646727656579869</v>
      </c>
      <c r="L117" s="25">
        <f t="shared" ref="L117:O117" si="288">IFERROR((L25+L26+L30)/L43,"")</f>
        <v>0.98146302571257726</v>
      </c>
      <c r="M117" s="25">
        <f t="shared" si="288"/>
        <v>0.91264822134387347</v>
      </c>
      <c r="N117" s="25">
        <f t="shared" si="288"/>
        <v>0.94244226731980407</v>
      </c>
      <c r="O117" s="25">
        <f t="shared" si="288"/>
        <v>0.95436105476673427</v>
      </c>
      <c r="P117" s="25">
        <f t="shared" ref="P117:R117" si="289">IFERROR((P25+P26+P30)/P43,"")</f>
        <v>1.1266040988316415</v>
      </c>
      <c r="Q117" s="25">
        <f t="shared" si="289"/>
        <v>0.96952078928823116</v>
      </c>
      <c r="R117" s="25">
        <f t="shared" si="289"/>
        <v>0.85139357580302466</v>
      </c>
      <c r="S117" s="25">
        <f t="shared" ref="S117:T117" si="290">IFERROR((S25+S26+S30)/S43,"")</f>
        <v>0.82253687315634216</v>
      </c>
      <c r="T117" s="25">
        <f t="shared" si="290"/>
        <v>0.86297524878795606</v>
      </c>
      <c r="U117" s="25">
        <f t="shared" ref="U117:Y117" si="291">IFERROR((U25+U26+U30)/U43,"")</f>
        <v>0.8765273311897106</v>
      </c>
      <c r="V117" s="25">
        <f t="shared" si="291"/>
        <v>1.0415370255133789</v>
      </c>
      <c r="W117" s="25">
        <f t="shared" si="291"/>
        <v>1.1130881299259614</v>
      </c>
      <c r="X117" s="25">
        <f t="shared" si="291"/>
        <v>1.1460751796572692</v>
      </c>
      <c r="Y117" s="25">
        <f t="shared" si="291"/>
        <v>1.1409160946911332</v>
      </c>
      <c r="Z117" s="25">
        <f t="shared" ref="Z117:AA117" si="292">IFERROR((Z25+Z26+Z30)/Z43,"")</f>
        <v>0.96173913043478265</v>
      </c>
      <c r="AA117" s="25">
        <f t="shared" si="292"/>
        <v>1.0113354587318455</v>
      </c>
      <c r="AB117" s="25">
        <f t="shared" ref="AB117" si="293">IFERROR((AB25+AB26+AB30)/AB43,"")</f>
        <v>1.5361847454870712</v>
      </c>
    </row>
    <row r="118" spans="1:28" x14ac:dyDescent="0.3">
      <c r="A118" s="85" t="s">
        <v>170</v>
      </c>
      <c r="B118" s="25">
        <f>IFERROR(B30/B38,"")</f>
        <v>0.52717391304347827</v>
      </c>
      <c r="C118" s="25">
        <f t="shared" ref="C118:K118" si="294">IFERROR(C30/C38,"")</f>
        <v>0.57765284609978917</v>
      </c>
      <c r="D118" s="25">
        <f t="shared" si="294"/>
        <v>0.51721763085399453</v>
      </c>
      <c r="E118" s="25">
        <f t="shared" si="294"/>
        <v>0.43981170141223941</v>
      </c>
      <c r="F118" s="25">
        <f t="shared" si="294"/>
        <v>0.42728297632468998</v>
      </c>
      <c r="G118" s="25">
        <f t="shared" si="294"/>
        <v>0.47800586510263932</v>
      </c>
      <c r="H118" s="25">
        <f t="shared" si="294"/>
        <v>0.43378995433789952</v>
      </c>
      <c r="I118" s="25">
        <f t="shared" si="294"/>
        <v>0.43004866180048662</v>
      </c>
      <c r="J118" s="25">
        <f t="shared" si="294"/>
        <v>0.44780376497432972</v>
      </c>
      <c r="K118" s="25">
        <f t="shared" si="294"/>
        <v>0.52</v>
      </c>
      <c r="L118" s="25">
        <f t="shared" ref="L118:O118" si="295">IFERROR(L30/L38,"")</f>
        <v>0.41570073761854581</v>
      </c>
      <c r="M118" s="25">
        <f t="shared" si="295"/>
        <v>0.41509433962264153</v>
      </c>
      <c r="N118" s="25">
        <f t="shared" si="295"/>
        <v>0.43357664233576643</v>
      </c>
      <c r="O118" s="25">
        <f t="shared" si="295"/>
        <v>0.5017994858611825</v>
      </c>
      <c r="P118" s="25">
        <f t="shared" ref="P118:R118" si="296">IFERROR(P30/P38,"")</f>
        <v>0.47290640394088668</v>
      </c>
      <c r="Q118" s="25">
        <f t="shared" si="296"/>
        <v>0.41653584510727371</v>
      </c>
      <c r="R118" s="25">
        <f t="shared" si="296"/>
        <v>0.39644218551461247</v>
      </c>
      <c r="S118" s="25">
        <f t="shared" ref="S118:T118" si="297">IFERROR(S30/S38,"")</f>
        <v>0.4367720465890183</v>
      </c>
      <c r="T118" s="25">
        <f t="shared" si="297"/>
        <v>0.35914927768860355</v>
      </c>
      <c r="U118" s="25">
        <f t="shared" ref="U118:Y118" si="298">IFERROR(U30/U38,"")</f>
        <v>0.37703583061889251</v>
      </c>
      <c r="V118" s="25">
        <f t="shared" si="298"/>
        <v>0.25088495575221237</v>
      </c>
      <c r="W118" s="25">
        <f t="shared" si="298"/>
        <v>0.33366190241498273</v>
      </c>
      <c r="X118" s="25">
        <f t="shared" si="298"/>
        <v>0.23156012516763522</v>
      </c>
      <c r="Y118" s="25">
        <f t="shared" si="298"/>
        <v>0.26125760649087221</v>
      </c>
      <c r="Z118" s="25">
        <f t="shared" ref="Z118:AA118" si="299">IFERROR(Z30/Z38,"")</f>
        <v>0.29396209784045835</v>
      </c>
      <c r="AA118" s="25">
        <f t="shared" si="299"/>
        <v>0.29366968110423608</v>
      </c>
      <c r="AB118" s="25">
        <f t="shared" ref="AB118" si="300">IFERROR(AB30/AB38,"")</f>
        <v>0.31781290046988464</v>
      </c>
    </row>
    <row r="119" spans="1:28" x14ac:dyDescent="0.3">
      <c r="A119" s="85" t="s">
        <v>171</v>
      </c>
      <c r="B119" s="205">
        <f ca="1">IFERROR(IF(Inputs!$E$14 = "Quarterly", IF(YEAR(B3)=Inputs!$E$17, (B30/AVERAGE('Annual Inc Statement Reported'!$F$13,'Annual Inc Statement Reported'!$G$13))*365, (B30/SUM(OFFSET('Interim Inc Statement Reported'!B13,0,-3,,4)))*365), IF(B3=DATE(Inputs!$E$17,Inputs!$E$15,Inputs!$E$16), (B30/AVERAGE('Annual Inc Statement Reported'!$E$13,'Annual Inc Statement Reported'!$F$13))*365, (B30/SUM(OFFSET('Interim Inc Statement Reported'!B13,0,-1,,2)))*365)),"")</f>
        <v>20.872512896094324</v>
      </c>
      <c r="C119" s="205">
        <f ca="1">IFERROR(IF(Inputs!$E$14 = "Quarterly", IF(YEAR(C3)=Inputs!$E$17, (C30/AVERAGE('Annual Inc Statement Reported'!$F$13,'Annual Inc Statement Reported'!$G$13))*365, (C30/SUM(OFFSET('Interim Inc Statement Reported'!C13,0,-3,,4)))*365), IF(C3=DATE(Inputs!$E$17,Inputs!$E$15,Inputs!$E$16), (C30/AVERAGE('Annual Inc Statement Reported'!$E$13,'Annual Inc Statement Reported'!$F$13))*365, (C30/SUM(OFFSET('Interim Inc Statement Reported'!C13,0,-1,,2)))*365)),"")</f>
        <v>22.109801031687546</v>
      </c>
      <c r="D119" s="205">
        <f ca="1">IFERROR(IF(Inputs!$E$14 = "Quarterly", IF(YEAR(D3)=Inputs!$E$17, (D30/AVERAGE('Annual Inc Statement Reported'!$F$13,'Annual Inc Statement Reported'!$G$13))*365, (D30/SUM(OFFSET('Interim Inc Statement Reported'!D13,0,-3,,4)))*365), IF(D3=DATE(Inputs!$E$17,Inputs!$E$15,Inputs!$E$16), (D30/AVERAGE('Annual Inc Statement Reported'!$E$13,'Annual Inc Statement Reported'!$F$13))*365, (D30/SUM(OFFSET('Interim Inc Statement Reported'!D13,0,-1,,2)))*365)),"")</f>
        <v>20.200073691967575</v>
      </c>
      <c r="E119" s="205">
        <f ca="1">IFERROR(IF(Inputs!$E$14 = "Quarterly", IF(YEAR(E3)=Inputs!$E$17, (E30/AVERAGE('Annual Inc Statement Reported'!$F$13,'Annual Inc Statement Reported'!$G$13))*365, (E30/SUM(OFFSET('Interim Inc Statement Reported'!E13,0,-3,,4)))*365), IF(E3=DATE(Inputs!$E$17,Inputs!$E$15,Inputs!$E$16), (E30/AVERAGE('Annual Inc Statement Reported'!$E$13,'Annual Inc Statement Reported'!$F$13))*365, (E30/SUM(OFFSET('Interim Inc Statement Reported'!E13,0,-1,,2)))*365)),"")</f>
        <v>17.591009579955784</v>
      </c>
      <c r="F119" s="205">
        <f ca="1">IFERROR(IF(Inputs!$E$14 = "Quarterly", IF(YEAR(F3)=Inputs!$E$17, (F30/AVERAGE('Annual Inc Statement Reported'!$F$13,'Annual Inc Statement Reported'!$G$13))*365, (F30/SUM(OFFSET('Interim Inc Statement Reported'!F13,0,-3,,4)))*365), IF(F3=DATE(Inputs!$E$17,Inputs!$E$15,Inputs!$E$16), (F30/AVERAGE('Annual Inc Statement Reported'!$E$13,'Annual Inc Statement Reported'!$F$13))*365, (F30/SUM(OFFSET('Interim Inc Statement Reported'!F13,0,-1,,2)))*365)),"")</f>
        <v>19.815928950007162</v>
      </c>
      <c r="G119" s="205">
        <f ca="1">IFERROR(IF(Inputs!$E$14 = "Quarterly", IF(YEAR(G3)=Inputs!$E$17, (G30/AVERAGE('Annual Inc Statement Reported'!$F$13,'Annual Inc Statement Reported'!$G$13))*365, (G30/SUM(OFFSET('Interim Inc Statement Reported'!G13,0,-3,,4)))*365), IF(G3=DATE(Inputs!$E$17,Inputs!$E$15,Inputs!$E$16), (G30/AVERAGE('Annual Inc Statement Reported'!$E$13,'Annual Inc Statement Reported'!$F$13))*365, (G30/SUM(OFFSET('Interim Inc Statement Reported'!G13,0,-1,,2)))*365)),"")</f>
        <v>21.239111809224617</v>
      </c>
      <c r="H119" s="205">
        <f ca="1">IFERROR(IF(Inputs!$E$14 = "Quarterly", IF(YEAR(H3)=Inputs!$E$17, (H30/AVERAGE('Annual Inc Statement Reported'!$F$13,'Annual Inc Statement Reported'!$G$13))*365, (H30/SUM(OFFSET('Interim Inc Statement Reported'!H13,0,-3,,4)))*365), IF(H3=DATE(Inputs!$E$17,Inputs!$E$15,Inputs!$E$16), (H30/AVERAGE('Annual Inc Statement Reported'!$E$13,'Annual Inc Statement Reported'!$F$13))*365, (H30/SUM(OFFSET('Interim Inc Statement Reported'!H13,0,-1,,2)))*365)),"")</f>
        <v>19.218511847027852</v>
      </c>
      <c r="I119" s="205">
        <f ca="1">IFERROR(IF(Inputs!$E$14 = "Quarterly", IF(YEAR(I3)=Inputs!$E$17, (I30/AVERAGE('Annual Inc Statement Reported'!$F$13,'Annual Inc Statement Reported'!$G$13))*365, (I30/SUM(OFFSET('Interim Inc Statement Reported'!I13,0,-3,,4)))*365), IF(I3=DATE(Inputs!$E$17,Inputs!$E$15,Inputs!$E$16), (I30/AVERAGE('Annual Inc Statement Reported'!$E$13,'Annual Inc Statement Reported'!$F$13))*365, (I30/SUM(OFFSET('Interim Inc Statement Reported'!I13,0,-1,,2)))*365)),"")</f>
        <v>17.582271581385843</v>
      </c>
      <c r="J119" s="205">
        <f ca="1">IFERROR(IF(Inputs!$E$14 = "Quarterly", IF(YEAR(J3)=Inputs!$E$17, (J30/AVERAGE('Annual Inc Statement Reported'!$F$13,'Annual Inc Statement Reported'!$G$13))*365, (J30/SUM(OFFSET('Interim Inc Statement Reported'!J13,0,-3,,4)))*365), IF(J3=DATE(Inputs!$E$17,Inputs!$E$15,Inputs!$E$16), (J30/AVERAGE('Annual Inc Statement Reported'!$E$13,'Annual Inc Statement Reported'!$F$13))*365, (J30/SUM(OFFSET('Interim Inc Statement Reported'!J13,0,-1,,2)))*365)),"")</f>
        <v>19.132278311965813</v>
      </c>
      <c r="K119" s="205">
        <f ca="1">IFERROR(IF(Inputs!$E$14 = "Quarterly", IF(YEAR(K3)=Inputs!$E$17, (K30/AVERAGE('Annual Inc Statement Reported'!$F$13,'Annual Inc Statement Reported'!$G$13))*365, (K30/SUM(OFFSET('Interim Inc Statement Reported'!K13,0,-3,,4)))*365), IF(K3=DATE(Inputs!$E$17,Inputs!$E$15,Inputs!$E$16), (K30/AVERAGE('Annual Inc Statement Reported'!$E$13,'Annual Inc Statement Reported'!$F$13))*365, (K30/SUM(OFFSET('Interim Inc Statement Reported'!K13,0,-1,,2)))*365)),"")</f>
        <v>20.606365050557429</v>
      </c>
      <c r="L119" s="205">
        <f ca="1">IFERROR(IF(Inputs!$E$14 = "Quarterly", IF(YEAR(L3)=Inputs!$E$17, (L30/AVERAGE('Annual Inc Statement Reported'!$F$13,'Annual Inc Statement Reported'!$G$13))*365, (L30/SUM(OFFSET('Interim Inc Statement Reported'!L13,0,-3,,4)))*365), IF(L3=DATE(Inputs!$E$17,Inputs!$E$15,Inputs!$E$16), (L30/AVERAGE('Annual Inc Statement Reported'!$E$13,'Annual Inc Statement Reported'!$F$13))*365, (L30/SUM(OFFSET('Interim Inc Statement Reported'!L13,0,-1,,2)))*365)),"")</f>
        <v>18.161379832250741</v>
      </c>
      <c r="M119" s="205">
        <f ca="1">IFERROR(IF(Inputs!$E$14 = "Quarterly", IF(YEAR(M3)=Inputs!$E$17, (M30/AVERAGE('Annual Inc Statement Reported'!$F$13,'Annual Inc Statement Reported'!$G$13))*365, (M30/SUM(OFFSET('Interim Inc Statement Reported'!M13,0,-3,,4)))*365), IF(M3=DATE(Inputs!$E$17,Inputs!$E$15,Inputs!$E$16), (M30/AVERAGE('Annual Inc Statement Reported'!$E$13,'Annual Inc Statement Reported'!$F$13))*365, (M30/SUM(OFFSET('Interim Inc Statement Reported'!M13,0,-1,,2)))*365)),"")</f>
        <v>18.281442284026582</v>
      </c>
      <c r="N119" s="205">
        <f ca="1">IFERROR(IF(Inputs!$E$14 = "Quarterly", IF(YEAR(N3)=Inputs!$E$17, (N30/AVERAGE('Annual Inc Statement Reported'!$F$13,'Annual Inc Statement Reported'!$G$13))*365, (N30/SUM(OFFSET('Interim Inc Statement Reported'!N13,0,-3,,4)))*365), IF(N3=DATE(Inputs!$E$17,Inputs!$E$15,Inputs!$E$16), (N30/AVERAGE('Annual Inc Statement Reported'!$E$13,'Annual Inc Statement Reported'!$F$13))*365, (N30/SUM(OFFSET('Interim Inc Statement Reported'!N13,0,-1,,2)))*365)),"")</f>
        <v>19.496133325340207</v>
      </c>
      <c r="O119" s="205">
        <f ca="1">IFERROR(IF(Inputs!$E$14 = "Quarterly", IF(YEAR(O3)=Inputs!$E$17, (O30/AVERAGE('Annual Inc Statement Reported'!$F$13,'Annual Inc Statement Reported'!$G$13))*365, (O30/SUM(OFFSET('Interim Inc Statement Reported'!O13,0,-3,,4)))*365), IF(O3=DATE(Inputs!$E$17,Inputs!$E$15,Inputs!$E$16), (O30/AVERAGE('Annual Inc Statement Reported'!$E$13,'Annual Inc Statement Reported'!$F$13))*365, (O30/SUM(OFFSET('Interim Inc Statement Reported'!O13,0,-1,,2)))*365)),"")</f>
        <v>20.827876520112255</v>
      </c>
      <c r="P119" s="205">
        <f ca="1">IFERROR(IF(Inputs!$E$14 = "Quarterly", IF(YEAR(P3)=Inputs!$E$17, (P30/AVERAGE('Annual Inc Statement Reported'!$F$13,'Annual Inc Statement Reported'!$G$13))*365, (P30/SUM(OFFSET('Interim Inc Statement Reported'!P13,0,-3,,4)))*365), IF(P3=DATE(Inputs!$E$17,Inputs!$E$15,Inputs!$E$16), (P30/AVERAGE('Annual Inc Statement Reported'!$E$13,'Annual Inc Statement Reported'!$F$13))*365, (P30/SUM(OFFSET('Interim Inc Statement Reported'!P13,0,-1,,2)))*365)),"")</f>
        <v>19.86507171608368</v>
      </c>
      <c r="Q119" s="205">
        <f ca="1">IFERROR(IF(Inputs!$E$14 = "Quarterly", IF(YEAR(Q3)=Inputs!$E$17, (Q30/AVERAGE('Annual Inc Statement Reported'!$F$13,'Annual Inc Statement Reported'!$G$13))*365, (Q30/SUM(OFFSET('Interim Inc Statement Reported'!Q13,0,-3,,4)))*365), IF(Q3=DATE(Inputs!$E$17,Inputs!$E$15,Inputs!$E$16), (Q30/AVERAGE('Annual Inc Statement Reported'!$E$13,'Annual Inc Statement Reported'!$F$13))*365, (Q30/SUM(OFFSET('Interim Inc Statement Reported'!Q13,0,-1,,2)))*365)),"")</f>
        <v>16.083033490174373</v>
      </c>
      <c r="R119" s="205">
        <f ca="1">IFERROR(IF(Inputs!$E$14 = "Quarterly", IF(YEAR(R3)=Inputs!$E$17, (R30/AVERAGE('Annual Inc Statement Reported'!$F$13,'Annual Inc Statement Reported'!$G$13))*365, (R30/SUM(OFFSET('Interim Inc Statement Reported'!R13,0,-3,,4)))*365), IF(R3=DATE(Inputs!$E$17,Inputs!$E$15,Inputs!$E$16), (R30/AVERAGE('Annual Inc Statement Reported'!$E$13,'Annual Inc Statement Reported'!$F$13))*365, (R30/SUM(OFFSET('Interim Inc Statement Reported'!R13,0,-1,,2)))*365)),"")</f>
        <v>18.520084566596193</v>
      </c>
      <c r="S119" s="205">
        <f ca="1">IFERROR(IF(Inputs!$E$14 = "Quarterly", IF(YEAR(S3)=Inputs!$E$17, (S30/AVERAGE('Annual Inc Statement Reported'!$F$13,'Annual Inc Statement Reported'!$G$13))*365, (S30/SUM(OFFSET('Interim Inc Statement Reported'!S13,0,-3,,4)))*365), IF(S3=DATE(Inputs!$E$17,Inputs!$E$15,Inputs!$E$16), (S30/AVERAGE('Annual Inc Statement Reported'!$E$13,'Annual Inc Statement Reported'!$F$13))*365, (S30/SUM(OFFSET('Interim Inc Statement Reported'!S13,0,-1,,2)))*365)),"")</f>
        <v>20.308939642838219</v>
      </c>
      <c r="T119" s="205">
        <f ca="1">IFERROR(IF(Inputs!$E$14 = "Quarterly", IF(YEAR(T3)=Inputs!$E$17, (T30/AVERAGE('Annual Inc Statement Reported'!$F$13,'Annual Inc Statement Reported'!$G$13))*365, (T30/SUM(OFFSET('Interim Inc Statement Reported'!T13,0,-3,,4)))*365), IF(T3=DATE(Inputs!$E$17,Inputs!$E$15,Inputs!$E$16), (T30/AVERAGE('Annual Inc Statement Reported'!$E$13,'Annual Inc Statement Reported'!$F$13))*365, (T30/SUM(OFFSET('Interim Inc Statement Reported'!T13,0,-1,,2)))*365)),"")</f>
        <v>17.185280656531116</v>
      </c>
      <c r="U119" s="205">
        <f ca="1">IFERROR(IF(Inputs!$E$14 = "Quarterly", IF(YEAR(U3)=Inputs!$E$17, (U30/AVERAGE('Annual Inc Statement Reported'!$F$13,'Annual Inc Statement Reported'!$G$13))*365, (U30/SUM(OFFSET('Interim Inc Statement Reported'!U13,0,-3,,4)))*365), IF(U3=DATE(Inputs!$E$17,Inputs!$E$15,Inputs!$E$16), (U30/AVERAGE('Annual Inc Statement Reported'!$E$13,'Annual Inc Statement Reported'!$F$13))*365, (U30/SUM(OFFSET('Interim Inc Statement Reported'!U13,0,-1,,2)))*365)),"")</f>
        <v>17.667137107312737</v>
      </c>
      <c r="V119" s="205">
        <f ca="1">IFERROR(IF(Inputs!$E$14 = "Quarterly", IF(YEAR(V3)=Inputs!$E$17, (V30/AVERAGE('Annual Inc Statement Reported'!$F$13,'Annual Inc Statement Reported'!$G$13))*365, (V30/SUM(OFFSET('Interim Inc Statement Reported'!V13,0,-3,,4)))*365), IF(V3=DATE(Inputs!$E$17,Inputs!$E$15,Inputs!$E$16), (V30/AVERAGE('Annual Inc Statement Reported'!$E$13,'Annual Inc Statement Reported'!$F$13))*365, (V30/SUM(OFFSET('Interim Inc Statement Reported'!V13,0,-1,,2)))*365)),"")</f>
        <v>11.247554347826087</v>
      </c>
      <c r="W119" s="205">
        <f ca="1">IFERROR(IF(Inputs!$E$14 = "Quarterly", IF(YEAR(W3)=Inputs!$E$17, (W30/AVERAGE('Annual Inc Statement Reported'!$F$13,'Annual Inc Statement Reported'!$G$13))*365, (W30/SUM(OFFSET('Interim Inc Statement Reported'!W13,0,-3,,4)))*365), IF(W3=DATE(Inputs!$E$17,Inputs!$E$15,Inputs!$E$16), (W30/AVERAGE('Annual Inc Statement Reported'!$E$13,'Annual Inc Statement Reported'!$F$13))*365, (W30/SUM(OFFSET('Interim Inc Statement Reported'!W13,0,-1,,2)))*365)),"")</f>
        <v>17.438602681721949</v>
      </c>
      <c r="X119" s="205">
        <f ca="1">IFERROR(IF(Inputs!$E$14 = "Quarterly", IF(YEAR(X3)=Inputs!$E$17, (X30/AVERAGE('Annual Inc Statement Reported'!$F$13,'Annual Inc Statement Reported'!$G$13))*365, (X30/SUM(OFFSET('Interim Inc Statement Reported'!X13,0,-3,,4)))*365), IF(X3=DATE(Inputs!$E$17,Inputs!$E$15,Inputs!$E$16), (X30/AVERAGE('Annual Inc Statement Reported'!$E$13,'Annual Inc Statement Reported'!$F$13))*365, (X30/SUM(OFFSET('Interim Inc Statement Reported'!X13,0,-1,,2)))*365)),"")</f>
        <v>20.169618092596544</v>
      </c>
      <c r="Y119" s="205">
        <f ca="1">IFERROR(IF(Inputs!$E$14 = "Quarterly", IF(YEAR(Y3)=Inputs!$E$17, (Y30/AVERAGE('Annual Inc Statement Reported'!$F$13,'Annual Inc Statement Reported'!$G$13))*365, (Y30/SUM(OFFSET('Interim Inc Statement Reported'!Y13,0,-3,,4)))*365), IF(Y3=DATE(Inputs!$E$17,Inputs!$E$15,Inputs!$E$16), (Y30/AVERAGE('Annual Inc Statement Reported'!$E$13,'Annual Inc Statement Reported'!$F$13))*365, (Y30/SUM(OFFSET('Interim Inc Statement Reported'!Y13,0,-1,,2)))*365)),"")</f>
        <v>40.298302760157725</v>
      </c>
      <c r="Z119" s="205">
        <f ca="1">IFERROR(IF(Inputs!$E$14 = "Quarterly", IF(YEAR(Z3)=Inputs!$E$17, (Z30/AVERAGE('Annual Inc Statement Reported'!$F$13,'Annual Inc Statement Reported'!$G$13))*365, (Z30/SUM(OFFSET('Interim Inc Statement Reported'!Z13,0,-3,,4)))*365), IF(Z3=DATE(Inputs!$E$17,Inputs!$E$15,Inputs!$E$16), (Z30/AVERAGE('Annual Inc Statement Reported'!$E$13,'Annual Inc Statement Reported'!$F$13))*365, (Z30/SUM(OFFSET('Interim Inc Statement Reported'!Z13,0,-1,,2)))*365)),"")</f>
        <v>85.723591549295776</v>
      </c>
      <c r="AA119" s="205">
        <f ca="1">IFERROR(IF(Inputs!$E$14 = "Quarterly", IF(YEAR(AA3)=Inputs!$E$17, (AA30/AVERAGE('Annual Inc Statement Reported'!$F$13,'Annual Inc Statement Reported'!$G$13))*365, (AA30/SUM(OFFSET('Interim Inc Statement Reported'!AA13,0,-3,,4)))*365), IF(AA3=DATE(Inputs!$E$17,Inputs!$E$15,Inputs!$E$16), (AA30/AVERAGE('Annual Inc Statement Reported'!$E$13,'Annual Inc Statement Reported'!$F$13))*365, (AA30/SUM(OFFSET('Interim Inc Statement Reported'!AA13,0,-1,,2)))*365)),"")</f>
        <v>71.493650793650787</v>
      </c>
      <c r="AB119" s="205">
        <f ca="1">IFERROR(IF(Inputs!$E$14 = "Quarterly", IF(YEAR(AB3)=Inputs!$E$17, (AB30/AVERAGE('Annual Inc Statement Reported'!$F$13,'Annual Inc Statement Reported'!$G$13))*365, (AB30/SUM(OFFSET('Interim Inc Statement Reported'!AB13,0,-3,,4)))*365), IF(AB3=DATE(Inputs!$E$17,Inputs!$E$15,Inputs!$E$16), (AB30/AVERAGE('Annual Inc Statement Reported'!$E$13,'Annual Inc Statement Reported'!$F$13))*365, (AB30/SUM(OFFSET('Interim Inc Statement Reported'!AB13,0,-1,,2)))*365)),"")</f>
        <v>60.40035587188612</v>
      </c>
    </row>
    <row r="120" spans="1:28" x14ac:dyDescent="0.3">
      <c r="A120" s="85" t="s">
        <v>172</v>
      </c>
      <c r="B120" s="205">
        <f ca="1">IFERROR(IF(Inputs!$E$14 = "Quarterly", IF(YEAR(B3)=Inputs!$E$17, (B38/-AVERAGE(('Annual Inc Statement Reported'!$F$24+'Annual Inc Statement Reported'!$F$27),('Annual Inc Statement Reported'!$G$24+'Annual Inc Statement Reported'!$G$27)))*365, (B38 / -SUM(OFFSET('Interim Inc Statement Reported'!B24,0,-3,,4),OFFSET('Interim Inc Statement Reported'!B27,0,-3,,4)))*365), IF(B3=DATE(Inputs!$E$17,Inputs!$E$15,Inputs!$E$16), (B38/-AVERAGE(('Annual Inc Statement Reported'!$E$24+'Annual Inc Statement Reported'!$E$27),('Annual Inc Statement Reported'!$F$24+'Annual Inc Statement Reported'!$F$27)))*365, (B38 / -SUM(OFFSET('Interim Inc Statement Reported'!B24,0,-1,,2),OFFSET('Interim Inc Statement Reported'!B27,0,-1,,2)))*365)),"")</f>
        <v>45.487871989163104</v>
      </c>
      <c r="C120" s="205">
        <f ca="1">IFERROR(IF(Inputs!$E$14 = "Quarterly", IF(YEAR(C3)=Inputs!$E$17, (C38/-AVERAGE(('Annual Inc Statement Reported'!$F$24+'Annual Inc Statement Reported'!$F$27),('Annual Inc Statement Reported'!$G$24+'Annual Inc Statement Reported'!$G$27)))*365, (C38 / -SUM(OFFSET('Interim Inc Statement Reported'!C24,0,-3,,4),OFFSET('Interim Inc Statement Reported'!C27,0,-3,,4)))*365), IF(C3=DATE(Inputs!$E$17,Inputs!$E$15,Inputs!$E$16), (C38/-AVERAGE(('Annual Inc Statement Reported'!$E$24+'Annual Inc Statement Reported'!$E$27),('Annual Inc Statement Reported'!$F$24+'Annual Inc Statement Reported'!$F$27)))*365, (C38 / -SUM(OFFSET('Interim Inc Statement Reported'!C24,0,-1,,2),OFFSET('Interim Inc Statement Reported'!C27,0,-1,,2)))*365)),"")</f>
        <v>43.973669728654279</v>
      </c>
      <c r="D120" s="205">
        <f ca="1">IFERROR(IF(Inputs!$E$14 = "Quarterly", IF(YEAR(D3)=Inputs!$E$17, (D38/-AVERAGE(('Annual Inc Statement Reported'!$F$24+'Annual Inc Statement Reported'!$F$27),('Annual Inc Statement Reported'!$G$24+'Annual Inc Statement Reported'!$G$27)))*365, (D38 / -SUM(OFFSET('Interim Inc Statement Reported'!D24,0,-3,,4),OFFSET('Interim Inc Statement Reported'!D27,0,-3,,4)))*365), IF(D3=DATE(Inputs!$E$17,Inputs!$E$15,Inputs!$E$16), (D38/-AVERAGE(('Annual Inc Statement Reported'!$E$24+'Annual Inc Statement Reported'!$E$27),('Annual Inc Statement Reported'!$F$24+'Annual Inc Statement Reported'!$F$27)))*365, (D38 / -SUM(OFFSET('Interim Inc Statement Reported'!D24,0,-1,,2),OFFSET('Interim Inc Statement Reported'!D27,0,-1,,2)))*365)),"")</f>
        <v>44.869830250179909</v>
      </c>
      <c r="E120" s="205">
        <f ca="1">IFERROR(IF(Inputs!$E$14 = "Quarterly", IF(YEAR(E3)=Inputs!$E$17, (E38/-AVERAGE(('Annual Inc Statement Reported'!$F$24+'Annual Inc Statement Reported'!$F$27),('Annual Inc Statement Reported'!$G$24+'Annual Inc Statement Reported'!$G$27)))*365, (E38 / -SUM(OFFSET('Interim Inc Statement Reported'!E24,0,-3,,4),OFFSET('Interim Inc Statement Reported'!E27,0,-3,,4)))*365), IF(E3=DATE(Inputs!$E$17,Inputs!$E$15,Inputs!$E$16), (E38/-AVERAGE(('Annual Inc Statement Reported'!$E$24+'Annual Inc Statement Reported'!$E$27),('Annual Inc Statement Reported'!$F$24+'Annual Inc Statement Reported'!$F$27)))*365, (E38 / -SUM(OFFSET('Interim Inc Statement Reported'!E24,0,-1,,2),OFFSET('Interim Inc Statement Reported'!E27,0,-1,,2)))*365)),"")</f>
        <v>45.951403293400503</v>
      </c>
      <c r="F120" s="205">
        <f ca="1">IFERROR(IF(Inputs!$E$14 = "Quarterly", IF(YEAR(F3)=Inputs!$E$17, (F38/-AVERAGE(('Annual Inc Statement Reported'!$F$24+'Annual Inc Statement Reported'!$F$27),('Annual Inc Statement Reported'!$G$24+'Annual Inc Statement Reported'!$G$27)))*365, (F38 / -SUM(OFFSET('Interim Inc Statement Reported'!F24,0,-3,,4),OFFSET('Interim Inc Statement Reported'!F27,0,-3,,4)))*365), IF(F3=DATE(Inputs!$E$17,Inputs!$E$15,Inputs!$E$16), (F38/-AVERAGE(('Annual Inc Statement Reported'!$E$24+'Annual Inc Statement Reported'!$E$27),('Annual Inc Statement Reported'!$F$24+'Annual Inc Statement Reported'!$F$27)))*365, (F38 / -SUM(OFFSET('Interim Inc Statement Reported'!F24,0,-1,,2),OFFSET('Interim Inc Statement Reported'!F27,0,-1,,2)))*365)),"")</f>
        <v>54.780879864636212</v>
      </c>
      <c r="G120" s="205">
        <f ca="1">IFERROR(IF(Inputs!$E$14 = "Quarterly", IF(YEAR(G3)=Inputs!$E$17, (G38/-AVERAGE(('Annual Inc Statement Reported'!$F$24+'Annual Inc Statement Reported'!$F$27),('Annual Inc Statement Reported'!$G$24+'Annual Inc Statement Reported'!$G$27)))*365, (G38 / -SUM(OFFSET('Interim Inc Statement Reported'!G24,0,-3,,4),OFFSET('Interim Inc Statement Reported'!G27,0,-3,,4)))*365), IF(G3=DATE(Inputs!$E$17,Inputs!$E$15,Inputs!$E$16), (G38/-AVERAGE(('Annual Inc Statement Reported'!$E$24+'Annual Inc Statement Reported'!$E$27),('Annual Inc Statement Reported'!$F$24+'Annual Inc Statement Reported'!$F$27)))*365, (G38 / -SUM(OFFSET('Interim Inc Statement Reported'!G24,0,-1,,2),OFFSET('Interim Inc Statement Reported'!G27,0,-1,,2)))*365)),"")</f>
        <v>52.463749789242968</v>
      </c>
      <c r="H120" s="205">
        <f ca="1">IFERROR(IF(Inputs!$E$14 = "Quarterly", IF(YEAR(H3)=Inputs!$E$17, (H38/-AVERAGE(('Annual Inc Statement Reported'!$F$24+'Annual Inc Statement Reported'!$F$27),('Annual Inc Statement Reported'!$G$24+'Annual Inc Statement Reported'!$G$27)))*365, (H38 / -SUM(OFFSET('Interim Inc Statement Reported'!H24,0,-3,,4),OFFSET('Interim Inc Statement Reported'!H27,0,-3,,4)))*365), IF(H3=DATE(Inputs!$E$17,Inputs!$E$15,Inputs!$E$16), (H38/-AVERAGE(('Annual Inc Statement Reported'!$E$24+'Annual Inc Statement Reported'!$E$27),('Annual Inc Statement Reported'!$F$24+'Annual Inc Statement Reported'!$F$27)))*365, (H38 / -SUM(OFFSET('Interim Inc Statement Reported'!H24,0,-1,,2),OFFSET('Interim Inc Statement Reported'!H27,0,-1,,2)))*365)),"")</f>
        <v>52.614777028138882</v>
      </c>
      <c r="I120" s="205">
        <f ca="1">IFERROR(IF(Inputs!$E$14 = "Quarterly", IF(YEAR(I3)=Inputs!$E$17, (I38/-AVERAGE(('Annual Inc Statement Reported'!$F$24+'Annual Inc Statement Reported'!$F$27),('Annual Inc Statement Reported'!$G$24+'Annual Inc Statement Reported'!$G$27)))*365, (I38 / -SUM(OFFSET('Interim Inc Statement Reported'!I24,0,-3,,4),OFFSET('Interim Inc Statement Reported'!I27,0,-3,,4)))*365), IF(I3=DATE(Inputs!$E$17,Inputs!$E$15,Inputs!$E$16), (I38/-AVERAGE(('Annual Inc Statement Reported'!$E$24+'Annual Inc Statement Reported'!$E$27),('Annual Inc Statement Reported'!$F$24+'Annual Inc Statement Reported'!$F$27)))*365, (I38 / -SUM(OFFSET('Interim Inc Statement Reported'!I24,0,-1,,2),OFFSET('Interim Inc Statement Reported'!I27,0,-1,,2)))*365)),"")</f>
        <v>48.294567404426559</v>
      </c>
      <c r="J120" s="205">
        <f ca="1">IFERROR(IF(Inputs!$E$14 = "Quarterly", IF(YEAR(J3)=Inputs!$E$17, (J38/-AVERAGE(('Annual Inc Statement Reported'!$F$24+'Annual Inc Statement Reported'!$F$27),('Annual Inc Statement Reported'!$G$24+'Annual Inc Statement Reported'!$G$27)))*365, (J38 / -SUM(OFFSET('Interim Inc Statement Reported'!J24,0,-3,,4),OFFSET('Interim Inc Statement Reported'!J27,0,-3,,4)))*365), IF(J3=DATE(Inputs!$E$17,Inputs!$E$15,Inputs!$E$16), (J38/-AVERAGE(('Annual Inc Statement Reported'!$E$24+'Annual Inc Statement Reported'!$E$27),('Annual Inc Statement Reported'!$F$24+'Annual Inc Statement Reported'!$F$27)))*365, (J38 / -SUM(OFFSET('Interim Inc Statement Reported'!J24,0,-1,,2),OFFSET('Interim Inc Statement Reported'!J27,0,-1,,2)))*365)),"")</f>
        <v>49.770146235220913</v>
      </c>
      <c r="K120" s="205">
        <f ca="1">IFERROR(IF(Inputs!$E$14 = "Quarterly", IF(YEAR(K3)=Inputs!$E$17, (K38/-AVERAGE(('Annual Inc Statement Reported'!$F$24+'Annual Inc Statement Reported'!$F$27),('Annual Inc Statement Reported'!$G$24+'Annual Inc Statement Reported'!$G$27)))*365, (K38 / -SUM(OFFSET('Interim Inc Statement Reported'!K24,0,-3,,4),OFFSET('Interim Inc Statement Reported'!K27,0,-3,,4)))*365), IF(K3=DATE(Inputs!$E$17,Inputs!$E$15,Inputs!$E$16), (K38/-AVERAGE(('Annual Inc Statement Reported'!$E$24+'Annual Inc Statement Reported'!$E$27),('Annual Inc Statement Reported'!$F$24+'Annual Inc Statement Reported'!$F$27)))*365, (K38 / -SUM(OFFSET('Interim Inc Statement Reported'!K24,0,-1,,2),OFFSET('Interim Inc Statement Reported'!K27,0,-1,,2)))*365)),"")</f>
        <v>46.092807599517485</v>
      </c>
      <c r="L120" s="205">
        <f ca="1">IFERROR(IF(Inputs!$E$14 = "Quarterly", IF(YEAR(L3)=Inputs!$E$17, (L38/-AVERAGE(('Annual Inc Statement Reported'!$F$24+'Annual Inc Statement Reported'!$F$27),('Annual Inc Statement Reported'!$G$24+'Annual Inc Statement Reported'!$G$27)))*365, (L38 / -SUM(OFFSET('Interim Inc Statement Reported'!L24,0,-3,,4),OFFSET('Interim Inc Statement Reported'!L27,0,-3,,4)))*365), IF(L3=DATE(Inputs!$E$17,Inputs!$E$15,Inputs!$E$16), (L38/-AVERAGE(('Annual Inc Statement Reported'!$E$24+'Annual Inc Statement Reported'!$E$27),('Annual Inc Statement Reported'!$F$24+'Annual Inc Statement Reported'!$F$27)))*365, (L38 / -SUM(OFFSET('Interim Inc Statement Reported'!L24,0,-1,,2),OFFSET('Interim Inc Statement Reported'!L27,0,-1,,2)))*365)),"")</f>
        <v>51.179816784869971</v>
      </c>
      <c r="M120" s="205">
        <f ca="1">IFERROR(IF(Inputs!$E$14 = "Quarterly", IF(YEAR(M3)=Inputs!$E$17, (M38/-AVERAGE(('Annual Inc Statement Reported'!$F$24+'Annual Inc Statement Reported'!$F$27),('Annual Inc Statement Reported'!$G$24+'Annual Inc Statement Reported'!$G$27)))*365, (M38 / -SUM(OFFSET('Interim Inc Statement Reported'!M24,0,-3,,4),OFFSET('Interim Inc Statement Reported'!M27,0,-3,,4)))*365), IF(M3=DATE(Inputs!$E$17,Inputs!$E$15,Inputs!$E$16), (M38/-AVERAGE(('Annual Inc Statement Reported'!$E$24+'Annual Inc Statement Reported'!$E$27),('Annual Inc Statement Reported'!$F$24+'Annual Inc Statement Reported'!$F$27)))*365, (M38 / -SUM(OFFSET('Interim Inc Statement Reported'!M24,0,-1,,2),OFFSET('Interim Inc Statement Reported'!M27,0,-1,,2)))*365)),"")</f>
        <v>51.590384892604867</v>
      </c>
      <c r="N120" s="205">
        <f ca="1">IFERROR(IF(Inputs!$E$14 = "Quarterly", IF(YEAR(N3)=Inputs!$E$17, (N38/-AVERAGE(('Annual Inc Statement Reported'!$F$24+'Annual Inc Statement Reported'!$F$27),('Annual Inc Statement Reported'!$G$24+'Annual Inc Statement Reported'!$G$27)))*365, (N38 / -SUM(OFFSET('Interim Inc Statement Reported'!N24,0,-3,,4),OFFSET('Interim Inc Statement Reported'!N27,0,-3,,4)))*365), IF(N3=DATE(Inputs!$E$17,Inputs!$E$15,Inputs!$E$16), (N38/-AVERAGE(('Annual Inc Statement Reported'!$E$24+'Annual Inc Statement Reported'!$E$27),('Annual Inc Statement Reported'!$F$24+'Annual Inc Statement Reported'!$F$27)))*365, (N38 / -SUM(OFFSET('Interim Inc Statement Reported'!N24,0,-1,,2),OFFSET('Interim Inc Statement Reported'!N27,0,-1,,2)))*365)),"")</f>
        <v>52.622070997614706</v>
      </c>
      <c r="O120" s="205">
        <f ca="1">IFERROR(IF(Inputs!$E$14 = "Quarterly", IF(YEAR(O3)=Inputs!$E$17, (O38/-AVERAGE(('Annual Inc Statement Reported'!$F$24+'Annual Inc Statement Reported'!$F$27),('Annual Inc Statement Reported'!$G$24+'Annual Inc Statement Reported'!$G$27)))*365, (O38 / -SUM(OFFSET('Interim Inc Statement Reported'!O24,0,-3,,4),OFFSET('Interim Inc Statement Reported'!O27,0,-3,,4)))*365), IF(O3=DATE(Inputs!$E$17,Inputs!$E$15,Inputs!$E$16), (O38/-AVERAGE(('Annual Inc Statement Reported'!$E$24+'Annual Inc Statement Reported'!$E$27),('Annual Inc Statement Reported'!$F$24+'Annual Inc Statement Reported'!$F$27)))*365, (O38 / -SUM(OFFSET('Interim Inc Statement Reported'!O24,0,-1,,2),OFFSET('Interim Inc Statement Reported'!O27,0,-1,,2)))*365)),"")</f>
        <v>48.30736254763201</v>
      </c>
      <c r="P120" s="205">
        <f ca="1">IFERROR(IF(Inputs!$E$14 = "Quarterly", IF(YEAR(P3)=Inputs!$E$17, (P38/-AVERAGE(('Annual Inc Statement Reported'!$F$24+'Annual Inc Statement Reported'!$F$27),('Annual Inc Statement Reported'!$G$24+'Annual Inc Statement Reported'!$G$27)))*365, (P38 / -SUM(OFFSET('Interim Inc Statement Reported'!P24,0,-3,,4),OFFSET('Interim Inc Statement Reported'!P27,0,-3,,4)))*365), IF(P3=DATE(Inputs!$E$17,Inputs!$E$15,Inputs!$E$16), (P38/-AVERAGE(('Annual Inc Statement Reported'!$E$24+'Annual Inc Statement Reported'!$E$27),('Annual Inc Statement Reported'!$F$24+'Annual Inc Statement Reported'!$F$27)))*365, (P38 / -SUM(OFFSET('Interim Inc Statement Reported'!P24,0,-1,,2),OFFSET('Interim Inc Statement Reported'!P27,0,-1,,2)))*365)),"")</f>
        <v>48.126136658872433</v>
      </c>
      <c r="Q120" s="205">
        <f ca="1">IFERROR(IF(Inputs!$E$14 = "Quarterly", IF(YEAR(Q3)=Inputs!$E$17, (Q38/-AVERAGE(('Annual Inc Statement Reported'!$F$24+'Annual Inc Statement Reported'!$F$27),('Annual Inc Statement Reported'!$G$24+'Annual Inc Statement Reported'!$G$27)))*365, (Q38 / -SUM(OFFSET('Interim Inc Statement Reported'!Q24,0,-3,,4),OFFSET('Interim Inc Statement Reported'!Q27,0,-3,,4)))*365), IF(Q3=DATE(Inputs!$E$17,Inputs!$E$15,Inputs!$E$16), (Q38/-AVERAGE(('Annual Inc Statement Reported'!$E$24+'Annual Inc Statement Reported'!$E$27),('Annual Inc Statement Reported'!$F$24+'Annual Inc Statement Reported'!$F$27)))*365, (Q38 / -SUM(OFFSET('Interim Inc Statement Reported'!Q24,0,-1,,2),OFFSET('Interim Inc Statement Reported'!Q27,0,-1,,2)))*365)),"")</f>
        <v>44.115805451900577</v>
      </c>
      <c r="R120" s="205">
        <f ca="1">IFERROR(IF(Inputs!$E$14 = "Quarterly", IF(YEAR(R3)=Inputs!$E$17, (R38/-AVERAGE(('Annual Inc Statement Reported'!$F$24+'Annual Inc Statement Reported'!$F$27),('Annual Inc Statement Reported'!$G$24+'Annual Inc Statement Reported'!$G$27)))*365, (R38 / -SUM(OFFSET('Interim Inc Statement Reported'!R24,0,-3,,4),OFFSET('Interim Inc Statement Reported'!R27,0,-3,,4)))*365), IF(R3=DATE(Inputs!$E$17,Inputs!$E$15,Inputs!$E$16), (R38/-AVERAGE(('Annual Inc Statement Reported'!$E$24+'Annual Inc Statement Reported'!$E$27),('Annual Inc Statement Reported'!$F$24+'Annual Inc Statement Reported'!$F$27)))*365, (R38 / -SUM(OFFSET('Interim Inc Statement Reported'!R24,0,-1,,2),OFFSET('Interim Inc Statement Reported'!R27,0,-1,,2)))*365)),"")</f>
        <v>54.325474374330206</v>
      </c>
      <c r="S120" s="205">
        <f ca="1">IFERROR(IF(Inputs!$E$14 = "Quarterly", IF(YEAR(S3)=Inputs!$E$17, (S38/-AVERAGE(('Annual Inc Statement Reported'!$F$24+'Annual Inc Statement Reported'!$F$27),('Annual Inc Statement Reported'!$G$24+'Annual Inc Statement Reported'!$G$27)))*365, (S38 / -SUM(OFFSET('Interim Inc Statement Reported'!S24,0,-3,,4),OFFSET('Interim Inc Statement Reported'!S27,0,-3,,4)))*365), IF(S3=DATE(Inputs!$E$17,Inputs!$E$15,Inputs!$E$16), (S38/-AVERAGE(('Annual Inc Statement Reported'!$E$24+'Annual Inc Statement Reported'!$E$27),('Annual Inc Statement Reported'!$F$24+'Annual Inc Statement Reported'!$F$27)))*365, (S38 / -SUM(OFFSET('Interim Inc Statement Reported'!S24,0,-1,,2),OFFSET('Interim Inc Statement Reported'!S27,0,-1,,2)))*365)),"")</f>
        <v>55.273070866141737</v>
      </c>
      <c r="T120" s="205">
        <f ca="1">IFERROR(IF(Inputs!$E$14 = "Quarterly", IF(YEAR(T3)=Inputs!$E$17, (T38/-AVERAGE(('Annual Inc Statement Reported'!$F$24+'Annual Inc Statement Reported'!$F$27),('Annual Inc Statement Reported'!$G$24+'Annual Inc Statement Reported'!$G$27)))*365, (T38 / -SUM(OFFSET('Interim Inc Statement Reported'!T24,0,-3,,4),OFFSET('Interim Inc Statement Reported'!T27,0,-3,,4)))*365), IF(T3=DATE(Inputs!$E$17,Inputs!$E$15,Inputs!$E$16), (T38/-AVERAGE(('Annual Inc Statement Reported'!$E$24+'Annual Inc Statement Reported'!$E$27),('Annual Inc Statement Reported'!$F$24+'Annual Inc Statement Reported'!$F$27)))*365, (T38 / -SUM(OFFSET('Interim Inc Statement Reported'!T24,0,-1,,2),OFFSET('Interim Inc Statement Reported'!T27,0,-1,,2)))*365)),"")</f>
        <v>58.123841779027408</v>
      </c>
      <c r="U120" s="205">
        <f ca="1">IFERROR(IF(Inputs!$E$14 = "Quarterly", IF(YEAR(U3)=Inputs!$E$17, (U38/-AVERAGE(('Annual Inc Statement Reported'!$F$24+'Annual Inc Statement Reported'!$F$27),('Annual Inc Statement Reported'!$G$24+'Annual Inc Statement Reported'!$G$27)))*365, (U38 / -SUM(OFFSET('Interim Inc Statement Reported'!U24,0,-3,,4),OFFSET('Interim Inc Statement Reported'!U27,0,-3,,4)))*365), IF(U3=DATE(Inputs!$E$17,Inputs!$E$15,Inputs!$E$16), (U38/-AVERAGE(('Annual Inc Statement Reported'!$E$24+'Annual Inc Statement Reported'!$E$27),('Annual Inc Statement Reported'!$F$24+'Annual Inc Statement Reported'!$F$27)))*365, (U38 / -SUM(OFFSET('Interim Inc Statement Reported'!U24,0,-1,,2),OFFSET('Interim Inc Statement Reported'!U27,0,-1,,2)))*365)),"")</f>
        <v>57.853501129396584</v>
      </c>
      <c r="V120" s="205">
        <f ca="1">IFERROR(IF(Inputs!$E$14 = "Quarterly", IF(YEAR(V3)=Inputs!$E$17, (V38/-AVERAGE(('Annual Inc Statement Reported'!$F$24+'Annual Inc Statement Reported'!$F$27),('Annual Inc Statement Reported'!$G$24+'Annual Inc Statement Reported'!$G$27)))*365, (V38 / -SUM(OFFSET('Interim Inc Statement Reported'!V24,0,-3,,4),OFFSET('Interim Inc Statement Reported'!V27,0,-3,,4)))*365), IF(V3=DATE(Inputs!$E$17,Inputs!$E$15,Inputs!$E$16), (V38/-AVERAGE(('Annual Inc Statement Reported'!$E$24+'Annual Inc Statement Reported'!$E$27),('Annual Inc Statement Reported'!$F$24+'Annual Inc Statement Reported'!$F$27)))*365, (V38 / -SUM(OFFSET('Interim Inc Statement Reported'!V24,0,-1,,2),OFFSET('Interim Inc Statement Reported'!V27,0,-1,,2)))*365)),"")</f>
        <v>53.999738151348524</v>
      </c>
      <c r="W120" s="205">
        <f ca="1">IFERROR(IF(Inputs!$E$14 = "Quarterly", IF(YEAR(W3)=Inputs!$E$17, (W38/-AVERAGE(('Annual Inc Statement Reported'!$F$24+'Annual Inc Statement Reported'!$F$27),('Annual Inc Statement Reported'!$G$24+'Annual Inc Statement Reported'!$G$27)))*365, (W38 / -SUM(OFFSET('Interim Inc Statement Reported'!W24,0,-3,,4),OFFSET('Interim Inc Statement Reported'!W27,0,-3,,4)))*365), IF(W3=DATE(Inputs!$E$17,Inputs!$E$15,Inputs!$E$16), (W38/-AVERAGE(('Annual Inc Statement Reported'!$E$24+'Annual Inc Statement Reported'!$E$27),('Annual Inc Statement Reported'!$F$24+'Annual Inc Statement Reported'!$F$27)))*365, (W38 / -SUM(OFFSET('Interim Inc Statement Reported'!W24,0,-1,,2),OFFSET('Interim Inc Statement Reported'!W27,0,-1,,2)))*365)),"")</f>
        <v>58.295418765743072</v>
      </c>
      <c r="X120" s="205">
        <f ca="1">IFERROR(IF(Inputs!$E$14 = "Quarterly", IF(YEAR(X3)=Inputs!$E$17, (X38/-AVERAGE(('Annual Inc Statement Reported'!$F$24+'Annual Inc Statement Reported'!$F$27),('Annual Inc Statement Reported'!$G$24+'Annual Inc Statement Reported'!$G$27)))*365, (X38 / -SUM(OFFSET('Interim Inc Statement Reported'!X24,0,-3,,4),OFFSET('Interim Inc Statement Reported'!X27,0,-3,,4)))*365), IF(X3=DATE(Inputs!$E$17,Inputs!$E$15,Inputs!$E$16), (X38/-AVERAGE(('Annual Inc Statement Reported'!$E$24+'Annual Inc Statement Reported'!$E$27),('Annual Inc Statement Reported'!$F$24+'Annual Inc Statement Reported'!$F$27)))*365, (X38 / -SUM(OFFSET('Interim Inc Statement Reported'!X24,0,-1,,2),OFFSET('Interim Inc Statement Reported'!X27,0,-1,,2)))*365)),"")</f>
        <v>83.78707029245767</v>
      </c>
      <c r="Y120" s="205">
        <f ca="1">IFERROR(IF(Inputs!$E$14 = "Quarterly", IF(YEAR(Y3)=Inputs!$E$17, (Y38/-AVERAGE(('Annual Inc Statement Reported'!$F$24+'Annual Inc Statement Reported'!$F$27),('Annual Inc Statement Reported'!$G$24+'Annual Inc Statement Reported'!$G$27)))*365, (Y38 / -SUM(OFFSET('Interim Inc Statement Reported'!Y24,0,-3,,4),OFFSET('Interim Inc Statement Reported'!Y27,0,-3,,4)))*365), IF(Y3=DATE(Inputs!$E$17,Inputs!$E$15,Inputs!$E$16), (Y38/-AVERAGE(('Annual Inc Statement Reported'!$E$24+'Annual Inc Statement Reported'!$E$27),('Annual Inc Statement Reported'!$F$24+'Annual Inc Statement Reported'!$F$27)))*365, (Y38 / -SUM(OFFSET('Interim Inc Statement Reported'!Y24,0,-1,,2),OFFSET('Interim Inc Statement Reported'!Y27,0,-1,,2)))*365)),"")</f>
        <v>120.78466908309839</v>
      </c>
      <c r="Z120" s="205">
        <f ca="1">IFERROR(IF(Inputs!$E$14 = "Quarterly", IF(YEAR(Z3)=Inputs!$E$17, (Z38/-AVERAGE(('Annual Inc Statement Reported'!$F$24+'Annual Inc Statement Reported'!$F$27),('Annual Inc Statement Reported'!$G$24+'Annual Inc Statement Reported'!$G$27)))*365, (Z38 / -SUM(OFFSET('Interim Inc Statement Reported'!Z24,0,-3,,4),OFFSET('Interim Inc Statement Reported'!Z27,0,-3,,4)))*365), IF(Z3=DATE(Inputs!$E$17,Inputs!$E$15,Inputs!$E$16), (Z38/-AVERAGE(('Annual Inc Statement Reported'!$E$24+'Annual Inc Statement Reported'!$E$27),('Annual Inc Statement Reported'!$F$24+'Annual Inc Statement Reported'!$F$27)))*365, (Z38 / -SUM(OFFSET('Interim Inc Statement Reported'!Z24,0,-1,,2),OFFSET('Interim Inc Statement Reported'!Z27,0,-1,,2)))*365)),"")</f>
        <v>161.03149912502431</v>
      </c>
      <c r="AA120" s="205">
        <f ca="1">IFERROR(IF(Inputs!$E$14 = "Quarterly", IF(YEAR(AA3)=Inputs!$E$17, (AA38/-AVERAGE(('Annual Inc Statement Reported'!$F$24+'Annual Inc Statement Reported'!$F$27),('Annual Inc Statement Reported'!$G$24+'Annual Inc Statement Reported'!$G$27)))*365, (AA38 / -SUM(OFFSET('Interim Inc Statement Reported'!AA24,0,-3,,4),OFFSET('Interim Inc Statement Reported'!AA27,0,-3,,4)))*365), IF(AA3=DATE(Inputs!$E$17,Inputs!$E$15,Inputs!$E$16), (AA38/-AVERAGE(('Annual Inc Statement Reported'!$E$24+'Annual Inc Statement Reported'!$E$27),('Annual Inc Statement Reported'!$F$24+'Annual Inc Statement Reported'!$F$27)))*365, (AA38 / -SUM(OFFSET('Interim Inc Statement Reported'!AA24,0,-1,,2),OFFSET('Interim Inc Statement Reported'!AA27,0,-1,,2)))*365)),"")</f>
        <v>141.12348178137651</v>
      </c>
      <c r="AB120" s="205">
        <f ca="1">IFERROR(IF(Inputs!$E$14 = "Quarterly", IF(YEAR(AB3)=Inputs!$E$17, (AB38/-AVERAGE(('Annual Inc Statement Reported'!$F$24+'Annual Inc Statement Reported'!$F$27),('Annual Inc Statement Reported'!$G$24+'Annual Inc Statement Reported'!$G$27)))*365, (AB38 / -SUM(OFFSET('Interim Inc Statement Reported'!AB24,0,-3,,4),OFFSET('Interim Inc Statement Reported'!AB27,0,-3,,4)))*365), IF(AB3=DATE(Inputs!$E$17,Inputs!$E$15,Inputs!$E$16), (AB38/-AVERAGE(('Annual Inc Statement Reported'!$E$24+'Annual Inc Statement Reported'!$E$27),('Annual Inc Statement Reported'!$F$24+'Annual Inc Statement Reported'!$F$27)))*365, (AB38 / -SUM(OFFSET('Interim Inc Statement Reported'!AB24,0,-1,,2),OFFSET('Interim Inc Statement Reported'!AB27,0,-1,,2)))*365)),"")</f>
        <v>133.69816930057894</v>
      </c>
    </row>
    <row r="121" spans="1:28" x14ac:dyDescent="0.3">
      <c r="A121" s="85" t="s">
        <v>173</v>
      </c>
      <c r="B121" s="205"/>
      <c r="C121" s="205"/>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c r="AA121" s="205"/>
      <c r="AB121" s="205"/>
    </row>
    <row r="122" spans="1:28" x14ac:dyDescent="0.3">
      <c r="A122" s="8" t="s">
        <v>174</v>
      </c>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row>
    <row r="123" spans="1:28" x14ac:dyDescent="0.3">
      <c r="A123" s="85" t="s">
        <v>175</v>
      </c>
      <c r="B123" s="5">
        <f t="shared" ref="B123:K123" si="301">B66-B16</f>
        <v>-1829</v>
      </c>
      <c r="C123" s="5">
        <f t="shared" si="301"/>
        <v>-1007</v>
      </c>
      <c r="D123" s="5">
        <f t="shared" si="301"/>
        <v>-672</v>
      </c>
      <c r="E123" s="5">
        <f t="shared" si="301"/>
        <v>-585</v>
      </c>
      <c r="F123" s="5">
        <f t="shared" si="301"/>
        <v>-1355</v>
      </c>
      <c r="G123" s="5">
        <f t="shared" si="301"/>
        <v>-1295</v>
      </c>
      <c r="H123" s="5">
        <f t="shared" si="301"/>
        <v>-462</v>
      </c>
      <c r="I123" s="5">
        <f t="shared" si="301"/>
        <v>593</v>
      </c>
      <c r="J123" s="5">
        <f t="shared" si="301"/>
        <v>302</v>
      </c>
      <c r="K123" s="5">
        <f t="shared" si="301"/>
        <v>577</v>
      </c>
      <c r="L123" s="5">
        <f t="shared" ref="L123:O123" si="302">L66-L16</f>
        <v>2443</v>
      </c>
      <c r="M123" s="5">
        <f t="shared" si="302"/>
        <v>2750</v>
      </c>
      <c r="N123" s="5">
        <f t="shared" si="302"/>
        <v>2663</v>
      </c>
      <c r="O123" s="5">
        <f t="shared" si="302"/>
        <v>3246</v>
      </c>
      <c r="P123" s="5">
        <f t="shared" ref="P123:R123" si="303">P66-P16</f>
        <v>3868</v>
      </c>
      <c r="Q123" s="5">
        <f t="shared" si="303"/>
        <v>2562</v>
      </c>
      <c r="R123" s="5">
        <f t="shared" si="303"/>
        <v>-740</v>
      </c>
      <c r="S123" s="5">
        <f t="shared" ref="S123:T123" si="304">S66-S16</f>
        <v>-772</v>
      </c>
      <c r="T123" s="5">
        <f t="shared" si="304"/>
        <v>-173</v>
      </c>
      <c r="U123" s="5">
        <f t="shared" ref="U123:Y123" si="305">U66-U16</f>
        <v>125</v>
      </c>
      <c r="V123" s="5">
        <f t="shared" si="305"/>
        <v>-65</v>
      </c>
      <c r="W123" s="5">
        <f t="shared" si="305"/>
        <v>-2299</v>
      </c>
      <c r="X123" s="5">
        <f t="shared" si="305"/>
        <v>-2672</v>
      </c>
      <c r="Y123" s="5">
        <f t="shared" si="305"/>
        <v>-2692</v>
      </c>
      <c r="Z123" s="5">
        <f t="shared" ref="Z123:AA123" si="306">Z66-Z16</f>
        <v>-3498</v>
      </c>
      <c r="AA123" s="5">
        <f t="shared" si="306"/>
        <v>-3806</v>
      </c>
      <c r="AB123" s="5">
        <f t="shared" ref="AB123" si="307">AB66-AB16</f>
        <v>-4223</v>
      </c>
    </row>
    <row r="124" spans="1:28" x14ac:dyDescent="0.3">
      <c r="A124" s="85" t="s">
        <v>176</v>
      </c>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row>
    <row r="125" spans="1:28" x14ac:dyDescent="0.3">
      <c r="A125" s="85" t="s">
        <v>177</v>
      </c>
      <c r="B125" s="2">
        <f>IFERROR(B124/B66,"N/A")</f>
        <v>0</v>
      </c>
      <c r="C125" s="2">
        <f t="shared" ref="C125:I125" si="308">IFERROR(C124/C66,"N/A")</f>
        <v>0</v>
      </c>
      <c r="D125" s="2">
        <f t="shared" si="308"/>
        <v>0</v>
      </c>
      <c r="E125" s="2">
        <f t="shared" si="308"/>
        <v>0</v>
      </c>
      <c r="F125" s="2">
        <f t="shared" si="308"/>
        <v>0</v>
      </c>
      <c r="G125" s="2">
        <f t="shared" si="308"/>
        <v>0</v>
      </c>
      <c r="H125" s="2">
        <f t="shared" si="308"/>
        <v>0</v>
      </c>
      <c r="I125" s="2">
        <f t="shared" si="308"/>
        <v>0</v>
      </c>
      <c r="J125" s="2">
        <f>IFERROR(J124/J66,"N/A")</f>
        <v>0</v>
      </c>
      <c r="K125" s="2">
        <f>IFERROR(K124/K66,"N/A")</f>
        <v>0</v>
      </c>
      <c r="L125" s="2">
        <f t="shared" ref="L125:O125" si="309">IFERROR(L124/L66,"N/A")</f>
        <v>0</v>
      </c>
      <c r="M125" s="2">
        <f t="shared" si="309"/>
        <v>0</v>
      </c>
      <c r="N125" s="2">
        <f t="shared" si="309"/>
        <v>0</v>
      </c>
      <c r="O125" s="2">
        <f t="shared" si="309"/>
        <v>0</v>
      </c>
      <c r="P125" s="2">
        <f t="shared" ref="P125:R125" si="310">IFERROR(P124/P66,"N/A")</f>
        <v>0</v>
      </c>
      <c r="Q125" s="2">
        <f t="shared" si="310"/>
        <v>0</v>
      </c>
      <c r="R125" s="2">
        <f t="shared" si="310"/>
        <v>0</v>
      </c>
      <c r="S125" s="2">
        <f t="shared" ref="S125:T125" si="311">IFERROR(S124/S66,"N/A")</f>
        <v>0</v>
      </c>
      <c r="T125" s="2">
        <f t="shared" si="311"/>
        <v>0</v>
      </c>
      <c r="U125" s="2">
        <f t="shared" ref="U125:Y125" si="312">IFERROR(U124/U66,"N/A")</f>
        <v>0</v>
      </c>
      <c r="V125" s="2">
        <f t="shared" si="312"/>
        <v>0</v>
      </c>
      <c r="W125" s="2">
        <f t="shared" si="312"/>
        <v>0</v>
      </c>
      <c r="X125" s="2">
        <f t="shared" si="312"/>
        <v>0</v>
      </c>
      <c r="Y125" s="2">
        <f t="shared" si="312"/>
        <v>0</v>
      </c>
      <c r="Z125" s="2">
        <f t="shared" ref="Z125:AA125" si="313">IFERROR(Z124/Z66,"N/A")</f>
        <v>0</v>
      </c>
      <c r="AA125" s="2">
        <f t="shared" si="313"/>
        <v>0</v>
      </c>
      <c r="AB125" s="2">
        <f t="shared" ref="AB125" si="314">IFERROR(AB124/AB66,"N/A")</f>
        <v>0</v>
      </c>
    </row>
    <row r="126" spans="1:28" x14ac:dyDescent="0.3">
      <c r="A126" s="85" t="s">
        <v>178</v>
      </c>
      <c r="B126" s="2">
        <f>IFERROR(B124/B123,"N/A")</f>
        <v>0</v>
      </c>
      <c r="C126" s="2">
        <f t="shared" ref="C126:I126" si="315">IFERROR(C124/C123,"N/A")</f>
        <v>0</v>
      </c>
      <c r="D126" s="2">
        <f t="shared" si="315"/>
        <v>0</v>
      </c>
      <c r="E126" s="2">
        <f t="shared" si="315"/>
        <v>0</v>
      </c>
      <c r="F126" s="2">
        <f t="shared" si="315"/>
        <v>0</v>
      </c>
      <c r="G126" s="2">
        <f t="shared" si="315"/>
        <v>0</v>
      </c>
      <c r="H126" s="2">
        <f t="shared" si="315"/>
        <v>0</v>
      </c>
      <c r="I126" s="2">
        <f t="shared" si="315"/>
        <v>0</v>
      </c>
      <c r="J126" s="2">
        <f>IFERROR(J124/J123,"N/A")</f>
        <v>0</v>
      </c>
      <c r="K126" s="2">
        <f>IFERROR(K124/K123,"N/A")</f>
        <v>0</v>
      </c>
      <c r="L126" s="2">
        <f t="shared" ref="L126:O126" si="316">IFERROR(L124/L123,"N/A")</f>
        <v>0</v>
      </c>
      <c r="M126" s="2">
        <f t="shared" si="316"/>
        <v>0</v>
      </c>
      <c r="N126" s="2">
        <f t="shared" si="316"/>
        <v>0</v>
      </c>
      <c r="O126" s="2">
        <f t="shared" si="316"/>
        <v>0</v>
      </c>
      <c r="P126" s="2">
        <f t="shared" ref="P126:R126" si="317">IFERROR(P124/P123,"N/A")</f>
        <v>0</v>
      </c>
      <c r="Q126" s="2">
        <f t="shared" si="317"/>
        <v>0</v>
      </c>
      <c r="R126" s="2">
        <f t="shared" si="317"/>
        <v>0</v>
      </c>
      <c r="S126" s="2">
        <f t="shared" ref="S126:T126" si="318">IFERROR(S124/S123,"N/A")</f>
        <v>0</v>
      </c>
      <c r="T126" s="2">
        <f t="shared" si="318"/>
        <v>0</v>
      </c>
      <c r="U126" s="2">
        <f t="shared" ref="U126:Y126" si="319">IFERROR(U124/U123,"N/A")</f>
        <v>0</v>
      </c>
      <c r="V126" s="2">
        <f t="shared" si="319"/>
        <v>0</v>
      </c>
      <c r="W126" s="2">
        <f t="shared" si="319"/>
        <v>0</v>
      </c>
      <c r="X126" s="2">
        <f t="shared" si="319"/>
        <v>0</v>
      </c>
      <c r="Y126" s="2">
        <f t="shared" si="319"/>
        <v>0</v>
      </c>
      <c r="Z126" s="2">
        <f t="shared" ref="Z126:AA126" si="320">IFERROR(Z124/Z123,"N/A")</f>
        <v>0</v>
      </c>
      <c r="AA126" s="2">
        <f t="shared" si="320"/>
        <v>0</v>
      </c>
      <c r="AB126" s="2">
        <f t="shared" ref="AB126" si="321">IFERROR(AB124/AB123,"N/A")</f>
        <v>0</v>
      </c>
    </row>
    <row r="127" spans="1:28" x14ac:dyDescent="0.3">
      <c r="A127" s="85" t="s">
        <v>179</v>
      </c>
      <c r="B127" s="12">
        <f>B124+B72</f>
        <v>2957</v>
      </c>
      <c r="C127" s="12">
        <f t="shared" ref="C127:I127" si="322">C124+C72</f>
        <v>2600</v>
      </c>
      <c r="D127" s="12">
        <f t="shared" si="322"/>
        <v>3022</v>
      </c>
      <c r="E127" s="12">
        <f t="shared" si="322"/>
        <v>3722</v>
      </c>
      <c r="F127" s="12">
        <f t="shared" si="322"/>
        <v>3501</v>
      </c>
      <c r="G127" s="12">
        <f t="shared" si="322"/>
        <v>3802</v>
      </c>
      <c r="H127" s="12">
        <f t="shared" si="322"/>
        <v>3543</v>
      </c>
      <c r="I127" s="12">
        <f t="shared" si="322"/>
        <v>3639</v>
      </c>
      <c r="J127" s="12">
        <f>J124+J72</f>
        <v>3160</v>
      </c>
      <c r="K127" s="12">
        <f>K124+K72</f>
        <v>2711</v>
      </c>
      <c r="L127" s="12">
        <f t="shared" ref="L127:O127" si="323">L124+L72</f>
        <v>2194</v>
      </c>
      <c r="M127" s="12">
        <f t="shared" si="323"/>
        <v>2315</v>
      </c>
      <c r="N127" s="12">
        <f t="shared" si="323"/>
        <v>2241</v>
      </c>
      <c r="O127" s="12">
        <f t="shared" si="323"/>
        <v>2338</v>
      </c>
      <c r="P127" s="12">
        <f t="shared" ref="P127:R127" si="324">P124+P72</f>
        <v>1756</v>
      </c>
      <c r="Q127" s="12">
        <f t="shared" si="324"/>
        <v>5214</v>
      </c>
      <c r="R127" s="12">
        <f t="shared" si="324"/>
        <v>3820</v>
      </c>
      <c r="S127" s="12">
        <f t="shared" ref="S127:T127" si="325">S124+S72</f>
        <v>3530</v>
      </c>
      <c r="T127" s="12">
        <f t="shared" si="325"/>
        <v>3491</v>
      </c>
      <c r="U127" s="12">
        <f t="shared" ref="U127:Y127" si="326">U124+U72</f>
        <v>3353</v>
      </c>
      <c r="V127" s="12">
        <f t="shared" si="326"/>
        <v>4565</v>
      </c>
      <c r="W127" s="12">
        <f t="shared" si="326"/>
        <v>5040</v>
      </c>
      <c r="X127" s="12">
        <f t="shared" si="326"/>
        <v>5387</v>
      </c>
      <c r="Y127" s="12">
        <f t="shared" si="326"/>
        <v>5488</v>
      </c>
      <c r="Z127" s="12">
        <f t="shared" ref="Z127:AA127" si="327">Z124+Z72</f>
        <v>6783</v>
      </c>
      <c r="AA127" s="12">
        <f t="shared" si="327"/>
        <v>7653</v>
      </c>
      <c r="AB127" s="12">
        <f t="shared" ref="AB127" si="328">AB124+AB72</f>
        <v>7980</v>
      </c>
    </row>
    <row r="128" spans="1:28" x14ac:dyDescent="0.3">
      <c r="A128" s="85" t="s">
        <v>180</v>
      </c>
      <c r="B128" s="12">
        <f ca="1">IFERROR(B124+B75,"")</f>
        <v>5288</v>
      </c>
      <c r="C128" s="12">
        <f t="shared" ref="C128:K128" ca="1" si="329">IFERROR(C124+C75,"")</f>
        <v>4931</v>
      </c>
      <c r="D128" s="12">
        <f t="shared" ca="1" si="329"/>
        <v>5353</v>
      </c>
      <c r="E128" s="12">
        <f t="shared" ca="1" si="329"/>
        <v>6053</v>
      </c>
      <c r="F128" s="12">
        <f t="shared" ca="1" si="329"/>
        <v>6182</v>
      </c>
      <c r="G128" s="12">
        <f t="shared" ca="1" si="329"/>
        <v>6679</v>
      </c>
      <c r="H128" s="12">
        <f t="shared" ca="1" si="329"/>
        <v>6623</v>
      </c>
      <c r="I128" s="12">
        <f t="shared" ca="1" si="329"/>
        <v>6873</v>
      </c>
      <c r="J128" s="12">
        <f t="shared" ca="1" si="329"/>
        <v>6464</v>
      </c>
      <c r="K128" s="12">
        <f t="shared" ca="1" si="329"/>
        <v>6141</v>
      </c>
      <c r="L128" s="12">
        <f t="shared" ref="L128:O128" ca="1" si="330">IFERROR(L124+L75,"")</f>
        <v>5673</v>
      </c>
      <c r="M128" s="12">
        <f t="shared" ca="1" si="330"/>
        <v>5836</v>
      </c>
      <c r="N128" s="12">
        <f t="shared" ca="1" si="330"/>
        <v>5783</v>
      </c>
      <c r="O128" s="12">
        <f t="shared" ca="1" si="330"/>
        <v>5831</v>
      </c>
      <c r="P128" s="12">
        <f t="shared" ref="P128:R128" ca="1" si="331">IFERROR(P124+P75,"")</f>
        <v>5333</v>
      </c>
      <c r="Q128" s="12">
        <f t="shared" ca="1" si="331"/>
        <v>8840</v>
      </c>
      <c r="R128" s="12">
        <f t="shared" si="331"/>
        <v>3820</v>
      </c>
      <c r="S128" s="12">
        <f t="shared" ref="S128:T128" si="332">IFERROR(S124+S75,"")</f>
        <v>3530</v>
      </c>
      <c r="T128" s="12">
        <f t="shared" si="332"/>
        <v>3491</v>
      </c>
      <c r="U128" s="12">
        <f t="shared" ref="U128:Y128" si="333">IFERROR(U124+U75,"")</f>
        <v>3353</v>
      </c>
      <c r="V128" s="12">
        <f t="shared" si="333"/>
        <v>4565</v>
      </c>
      <c r="W128" s="12">
        <f t="shared" si="333"/>
        <v>5040</v>
      </c>
      <c r="X128" s="12">
        <f t="shared" si="333"/>
        <v>5387</v>
      </c>
      <c r="Y128" s="12">
        <f t="shared" si="333"/>
        <v>5488</v>
      </c>
      <c r="Z128" s="12">
        <f t="shared" ref="Z128:AA128" si="334">IFERROR(Z124+Z75,"")</f>
        <v>6783</v>
      </c>
      <c r="AA128" s="12">
        <f t="shared" si="334"/>
        <v>7653</v>
      </c>
      <c r="AB128" s="12">
        <f t="shared" ref="AB128" si="335">IFERROR(AB124+AB75,"")</f>
        <v>7980</v>
      </c>
    </row>
    <row r="129" spans="1:28" x14ac:dyDescent="0.3">
      <c r="A129" s="85" t="s">
        <v>471</v>
      </c>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row>
    <row r="130" spans="1:28" x14ac:dyDescent="0.3">
      <c r="A130" s="85" t="s">
        <v>472</v>
      </c>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row>
    <row r="131" spans="1:28" x14ac:dyDescent="0.3">
      <c r="A131" s="8" t="s">
        <v>470</v>
      </c>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row>
    <row r="132" spans="1:28" x14ac:dyDescent="0.3">
      <c r="A132" s="85" t="s">
        <v>182</v>
      </c>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row>
    <row r="133" spans="1:28" x14ac:dyDescent="0.3">
      <c r="A133" s="85" t="s">
        <v>183</v>
      </c>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row>
    <row r="134" spans="1:28" x14ac:dyDescent="0.3">
      <c r="A134" s="85"/>
      <c r="B134" s="218"/>
      <c r="C134" s="218"/>
      <c r="D134" s="218"/>
      <c r="E134" s="218"/>
      <c r="F134" s="218"/>
      <c r="G134" s="218"/>
      <c r="H134" s="218"/>
      <c r="I134" s="218"/>
      <c r="J134" s="218"/>
      <c r="K134" s="218"/>
      <c r="L134" s="218"/>
      <c r="M134" s="218"/>
      <c r="N134" s="218"/>
      <c r="O134" s="218"/>
      <c r="P134" s="218"/>
      <c r="Q134" s="218"/>
      <c r="R134" s="218"/>
      <c r="S134" s="218"/>
      <c r="T134" s="218"/>
      <c r="U134" s="218"/>
    </row>
  </sheetData>
  <mergeCells count="1">
    <mergeCell ref="A1:T1"/>
  </mergeCells>
  <pageMargins left="0.70866141732283472" right="0.70866141732283472" top="0.74803149606299213" bottom="0.74803149606299213" header="0.31496062992125984" footer="0.31496062992125984"/>
  <pageSetup paperSize="9" scale="24" orientation="portrait" r:id="rId1"/>
  <headerFooter alignWithMargins="0"/>
  <rowBreaks count="1" manualBreakCount="1">
    <brk id="68" max="27" man="1"/>
  </rowBreaks>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4" tint="0.79998168889431442"/>
  </sheetPr>
  <dimension ref="A1:AB134"/>
  <sheetViews>
    <sheetView view="pageBreakPreview" zoomScale="80" zoomScaleNormal="100" zoomScaleSheetLayoutView="80" workbookViewId="0">
      <pane xSplit="1" ySplit="7" topLeftCell="L41" activePane="bottomRight" state="frozen"/>
      <selection pane="topRight" activeCell="B1" sqref="B1"/>
      <selection pane="bottomLeft" activeCell="A8" sqref="A8"/>
      <selection pane="bottomRight" activeCell="AB86" sqref="AB86"/>
    </sheetView>
  </sheetViews>
  <sheetFormatPr defaultColWidth="8.88671875" defaultRowHeight="14.4" x14ac:dyDescent="0.3"/>
  <cols>
    <col min="1" max="1" width="51.33203125" style="13" bestFit="1" customWidth="1"/>
    <col min="2" max="12" width="11.5546875" style="13" bestFit="1" customWidth="1"/>
    <col min="13" max="19" width="10.88671875" style="13" bestFit="1" customWidth="1"/>
    <col min="20" max="20" width="10.88671875" style="13" customWidth="1"/>
    <col min="21" max="21" width="10.6640625" style="13" bestFit="1" customWidth="1"/>
    <col min="22" max="24" width="11.5546875" style="13" bestFit="1" customWidth="1"/>
    <col min="25" max="25" width="11.88671875" style="13" customWidth="1"/>
    <col min="26" max="28" width="10.33203125" style="13" bestFit="1" customWidth="1"/>
    <col min="29" max="16384" width="8.88671875" style="13"/>
  </cols>
  <sheetData>
    <row r="1" spans="1:28" ht="28.8" x14ac:dyDescent="0.55000000000000004">
      <c r="A1" s="349" t="str">
        <f>IF(Inputs!$E$14 = "Semi-annual",(Inputs!$E$9 &amp; " - Semi-annual Balance Sheet "&amp;Inputs!$E$19), (Inputs!$E$9 &amp; " - Qtrly Balance Sheet "&amp; Inputs!$E$19))</f>
        <v>Air Canada - Qtrly Balance Sheet US$</v>
      </c>
      <c r="B1" s="349"/>
      <c r="C1" s="349"/>
      <c r="D1" s="349"/>
      <c r="E1" s="349"/>
      <c r="F1" s="349"/>
      <c r="G1" s="349"/>
      <c r="H1" s="349"/>
      <c r="I1" s="349"/>
      <c r="J1" s="349"/>
      <c r="K1" s="349"/>
      <c r="L1" s="349"/>
      <c r="M1" s="349"/>
      <c r="N1" s="349"/>
      <c r="O1" s="349"/>
      <c r="P1" s="349"/>
      <c r="Q1" s="349"/>
      <c r="R1" s="349"/>
      <c r="S1" s="349"/>
      <c r="T1" s="320"/>
      <c r="U1" s="69"/>
      <c r="V1" s="69"/>
      <c r="W1" s="69"/>
      <c r="X1" s="69"/>
      <c r="Y1" s="69"/>
      <c r="Z1" s="69"/>
    </row>
    <row r="2" spans="1:28" x14ac:dyDescent="0.3">
      <c r="A2" s="3"/>
      <c r="B2" s="3" t="str">
        <f>'Interim Operational Data'!B2</f>
        <v>Q1</v>
      </c>
      <c r="C2" s="3" t="str">
        <f>'Interim Operational Data'!C2</f>
        <v>Q2</v>
      </c>
      <c r="D2" s="3" t="str">
        <f>'Interim Operational Data'!D2</f>
        <v>Q3</v>
      </c>
      <c r="E2" s="3" t="str">
        <f>'Interim Operational Data'!E2</f>
        <v>Q4</v>
      </c>
      <c r="F2" s="3" t="str">
        <f>'Interim Operational Data'!F2</f>
        <v>Q1</v>
      </c>
      <c r="G2" s="3" t="str">
        <f>'Interim Operational Data'!G2</f>
        <v>Q2</v>
      </c>
      <c r="H2" s="3" t="str">
        <f>'Interim Operational Data'!H2</f>
        <v>Q3</v>
      </c>
      <c r="I2" s="3" t="str">
        <f>'Interim Operational Data'!I2</f>
        <v>Q4</v>
      </c>
      <c r="J2" s="3" t="str">
        <f>'Interim Operational Data'!J2</f>
        <v>Q1</v>
      </c>
      <c r="K2" s="3" t="str">
        <f>'Interim Operational Data'!K2</f>
        <v>Q2</v>
      </c>
      <c r="L2" s="3" t="str">
        <f>'Interim Operational Data'!L2</f>
        <v>Q3</v>
      </c>
      <c r="M2" s="3" t="str">
        <f>'Interim Operational Data'!M2</f>
        <v>Q4</v>
      </c>
      <c r="N2" s="3" t="str">
        <f>'Interim Operational Data'!N2</f>
        <v>Q1</v>
      </c>
      <c r="O2" s="3" t="str">
        <f>'Interim Operational Data'!O2</f>
        <v>Q2</v>
      </c>
      <c r="P2" s="3" t="str">
        <f>'Interim Operational Data'!P2</f>
        <v>Q3</v>
      </c>
      <c r="Q2" s="3" t="str">
        <f>'Interim Operational Data'!Q2</f>
        <v>Q4</v>
      </c>
      <c r="R2" s="3" t="str">
        <f>'Interim Operational Data'!R2</f>
        <v>Q1</v>
      </c>
      <c r="S2" s="3" t="str">
        <f>'Interim Operational Data'!S2</f>
        <v>Q2</v>
      </c>
      <c r="T2" s="3" t="str">
        <f>'Interim Operational Data'!T2</f>
        <v>Q3</v>
      </c>
      <c r="U2" s="3" t="str">
        <f>'Interim Operational Data'!U2</f>
        <v>Q4</v>
      </c>
      <c r="V2" s="3" t="str">
        <f>'Interim Operational Data'!V2</f>
        <v>Q1</v>
      </c>
      <c r="W2" s="3" t="str">
        <f>'Interim Operational Data'!W2</f>
        <v>Q2</v>
      </c>
      <c r="X2" s="3" t="str">
        <f>'Interim Operational Data'!X2</f>
        <v>Q3</v>
      </c>
      <c r="Y2" s="3" t="str">
        <f>'Interim Operational Data'!Y2</f>
        <v>Q4</v>
      </c>
      <c r="Z2" s="3" t="str">
        <f>'Interim Operational Data'!Z2</f>
        <v>Q1</v>
      </c>
      <c r="AA2" s="3" t="str">
        <f>'Interim Operational Data'!AA2</f>
        <v>Q2</v>
      </c>
      <c r="AB2" s="3" t="str">
        <f>'Interim Operational Data'!AB2</f>
        <v>Q3</v>
      </c>
    </row>
    <row r="3" spans="1:28" x14ac:dyDescent="0.3">
      <c r="A3" s="3"/>
      <c r="B3" s="7">
        <f>'Interim Operational Data'!B3</f>
        <v>42094</v>
      </c>
      <c r="C3" s="7">
        <f>'Interim Operational Data'!C3</f>
        <v>42185</v>
      </c>
      <c r="D3" s="7">
        <f>'Interim Operational Data'!D3</f>
        <v>42277</v>
      </c>
      <c r="E3" s="7">
        <f>'Interim Operational Data'!E3</f>
        <v>42369</v>
      </c>
      <c r="F3" s="7">
        <f>'Interim Operational Data'!F3</f>
        <v>42460</v>
      </c>
      <c r="G3" s="7">
        <f>'Interim Operational Data'!G3</f>
        <v>42551</v>
      </c>
      <c r="H3" s="7">
        <f>'Interim Operational Data'!H3</f>
        <v>42643</v>
      </c>
      <c r="I3" s="7">
        <f>'Interim Operational Data'!I3</f>
        <v>42735</v>
      </c>
      <c r="J3" s="7">
        <f>'Interim Operational Data'!J3</f>
        <v>42825</v>
      </c>
      <c r="K3" s="7">
        <f>'Interim Operational Data'!K3</f>
        <v>42916</v>
      </c>
      <c r="L3" s="7">
        <f>'Interim Operational Data'!L3</f>
        <v>43008</v>
      </c>
      <c r="M3" s="7">
        <f>'Interim Operational Data'!M3</f>
        <v>43100</v>
      </c>
      <c r="N3" s="7">
        <f>'Interim Operational Data'!N3</f>
        <v>43190</v>
      </c>
      <c r="O3" s="7">
        <f>'Interim Operational Data'!O3</f>
        <v>43281</v>
      </c>
      <c r="P3" s="7">
        <f>'Interim Operational Data'!P3</f>
        <v>43373</v>
      </c>
      <c r="Q3" s="7">
        <f>'Interim Operational Data'!Q3</f>
        <v>43465</v>
      </c>
      <c r="R3" s="7">
        <f>'Interim Operational Data'!R3</f>
        <v>43555</v>
      </c>
      <c r="S3" s="7">
        <f>'Interim Operational Data'!S3</f>
        <v>43646</v>
      </c>
      <c r="T3" s="7">
        <f>'Interim Operational Data'!T3</f>
        <v>43738</v>
      </c>
      <c r="U3" s="7">
        <f>'Interim Operational Data'!U3</f>
        <v>43830</v>
      </c>
      <c r="V3" s="7">
        <f>'Interim Operational Data'!V3</f>
        <v>43921</v>
      </c>
      <c r="W3" s="7">
        <f>'Interim Operational Data'!W3</f>
        <v>44012</v>
      </c>
      <c r="X3" s="7">
        <f>'Interim Operational Data'!X3</f>
        <v>44104</v>
      </c>
      <c r="Y3" s="7">
        <f>'Interim Operational Data'!Y3</f>
        <v>44196</v>
      </c>
      <c r="Z3" s="7">
        <f>'Interim Operational Data'!Z3</f>
        <v>44286</v>
      </c>
      <c r="AA3" s="7">
        <f>'Interim Operational Data'!AA3</f>
        <v>44377</v>
      </c>
      <c r="AB3" s="7">
        <f>'Interim Operational Data'!AB3</f>
        <v>44469</v>
      </c>
    </row>
    <row r="4" spans="1:28" x14ac:dyDescent="0.3">
      <c r="A4" s="3"/>
      <c r="B4" s="3" t="s">
        <v>1</v>
      </c>
      <c r="C4" s="3" t="s">
        <v>1</v>
      </c>
      <c r="D4" s="3" t="s">
        <v>1</v>
      </c>
      <c r="E4" s="3" t="s">
        <v>1</v>
      </c>
      <c r="F4" s="3" t="s">
        <v>1</v>
      </c>
      <c r="G4" s="3" t="s">
        <v>1</v>
      </c>
      <c r="H4" s="3" t="s">
        <v>1</v>
      </c>
      <c r="I4" s="3" t="s">
        <v>1</v>
      </c>
      <c r="J4" s="3" t="s">
        <v>1</v>
      </c>
      <c r="K4" s="3" t="s">
        <v>1</v>
      </c>
      <c r="L4" s="3" t="s">
        <v>1</v>
      </c>
      <c r="M4" s="3" t="s">
        <v>1</v>
      </c>
      <c r="N4" s="3" t="s">
        <v>1</v>
      </c>
      <c r="O4" s="3" t="s">
        <v>1</v>
      </c>
      <c r="P4" s="3" t="s">
        <v>1</v>
      </c>
      <c r="Q4" s="3" t="s">
        <v>1</v>
      </c>
      <c r="R4" s="3" t="s">
        <v>1</v>
      </c>
      <c r="S4" s="3" t="s">
        <v>1</v>
      </c>
      <c r="T4" s="3" t="s">
        <v>1</v>
      </c>
      <c r="U4" s="3" t="s">
        <v>1</v>
      </c>
      <c r="V4" s="3" t="s">
        <v>1</v>
      </c>
      <c r="W4" s="3" t="s">
        <v>1</v>
      </c>
      <c r="X4" s="3" t="s">
        <v>1</v>
      </c>
      <c r="Y4" s="3" t="s">
        <v>1</v>
      </c>
      <c r="Z4" s="3" t="s">
        <v>1</v>
      </c>
      <c r="AA4" s="3" t="s">
        <v>1</v>
      </c>
      <c r="AB4" s="3" t="s">
        <v>1</v>
      </c>
    </row>
    <row r="5" spans="1:28" x14ac:dyDescent="0.3">
      <c r="A5" s="3"/>
      <c r="B5" s="3" t="str">
        <f>Inputs!$E$19 &amp;"m"</f>
        <v>US$m</v>
      </c>
      <c r="C5" s="3" t="str">
        <f>Inputs!$E$19 &amp;"m"</f>
        <v>US$m</v>
      </c>
      <c r="D5" s="3" t="str">
        <f>Inputs!$E$19 &amp;"m"</f>
        <v>US$m</v>
      </c>
      <c r="E5" s="3" t="str">
        <f>Inputs!$E$19 &amp;"m"</f>
        <v>US$m</v>
      </c>
      <c r="F5" s="3" t="str">
        <f>Inputs!$E$19 &amp;"m"</f>
        <v>US$m</v>
      </c>
      <c r="G5" s="3" t="str">
        <f>Inputs!$E$19 &amp;"m"</f>
        <v>US$m</v>
      </c>
      <c r="H5" s="3" t="str">
        <f>Inputs!$E$19 &amp;"m"</f>
        <v>US$m</v>
      </c>
      <c r="I5" s="3" t="str">
        <f>Inputs!$E$19 &amp;"m"</f>
        <v>US$m</v>
      </c>
      <c r="J5" s="3" t="str">
        <f>Inputs!$E$19 &amp;"m"</f>
        <v>US$m</v>
      </c>
      <c r="K5" s="3" t="str">
        <f>Inputs!$E$19 &amp;"m"</f>
        <v>US$m</v>
      </c>
      <c r="L5" s="3" t="str">
        <f>Inputs!$E$19 &amp;"m"</f>
        <v>US$m</v>
      </c>
      <c r="M5" s="3" t="str">
        <f>Inputs!$E$19 &amp;"m"</f>
        <v>US$m</v>
      </c>
      <c r="N5" s="3" t="str">
        <f>Inputs!$E$19 &amp;"m"</f>
        <v>US$m</v>
      </c>
      <c r="O5" s="3" t="str">
        <f>Inputs!$E$19 &amp;"m"</f>
        <v>US$m</v>
      </c>
      <c r="P5" s="3" t="str">
        <f>Inputs!$E$19 &amp;"m"</f>
        <v>US$m</v>
      </c>
      <c r="Q5" s="3" t="str">
        <f>Inputs!$E$19 &amp;"m"</f>
        <v>US$m</v>
      </c>
      <c r="R5" s="3" t="str">
        <f>Inputs!$E$19 &amp;"m"</f>
        <v>US$m</v>
      </c>
      <c r="S5" s="3" t="str">
        <f>Inputs!$E$19 &amp;"m"</f>
        <v>US$m</v>
      </c>
      <c r="T5" s="3" t="str">
        <f>Inputs!$E$19 &amp;"m"</f>
        <v>US$m</v>
      </c>
      <c r="U5" s="3" t="str">
        <f>Inputs!$E$19 &amp;"m"</f>
        <v>US$m</v>
      </c>
      <c r="V5" s="3" t="str">
        <f>Inputs!$E$19 &amp;"m"</f>
        <v>US$m</v>
      </c>
      <c r="W5" s="3" t="str">
        <f>Inputs!$E$19 &amp;"m"</f>
        <v>US$m</v>
      </c>
      <c r="X5" s="3" t="str">
        <f>Inputs!$E$19 &amp;"m"</f>
        <v>US$m</v>
      </c>
      <c r="Y5" s="3" t="str">
        <f>Inputs!$E$19 &amp;"m"</f>
        <v>US$m</v>
      </c>
      <c r="Z5" s="3" t="str">
        <f>Inputs!$E$19 &amp;"m"</f>
        <v>US$m</v>
      </c>
      <c r="AA5" s="3" t="str">
        <f>Inputs!$E$19 &amp;"m"</f>
        <v>US$m</v>
      </c>
      <c r="AB5" s="3" t="str">
        <f>Inputs!$E$19 &amp;"m"</f>
        <v>US$m</v>
      </c>
    </row>
    <row r="6" spans="1:28" x14ac:dyDescent="0.3">
      <c r="A6" s="3"/>
      <c r="B6" s="3" t="str">
        <f>(Inputs!$E$19 &amp; " / " &amp;Inputs!$E$18)</f>
        <v>US$ / CAD</v>
      </c>
      <c r="C6" s="3" t="str">
        <f>(Inputs!$E$19 &amp; " / " &amp;Inputs!$E$18)</f>
        <v>US$ / CAD</v>
      </c>
      <c r="D6" s="3" t="str">
        <f>(Inputs!$E$19 &amp; " / " &amp;Inputs!$E$18)</f>
        <v>US$ / CAD</v>
      </c>
      <c r="E6" s="3" t="str">
        <f>(Inputs!$E$19 &amp; " / " &amp;Inputs!$E$18)</f>
        <v>US$ / CAD</v>
      </c>
      <c r="F6" s="3" t="str">
        <f>(Inputs!$E$19 &amp; " / " &amp;Inputs!$E$18)</f>
        <v>US$ / CAD</v>
      </c>
      <c r="G6" s="3" t="str">
        <f>(Inputs!$E$19 &amp; " / " &amp;Inputs!$E$18)</f>
        <v>US$ / CAD</v>
      </c>
      <c r="H6" s="3" t="str">
        <f>(Inputs!$E$19 &amp; " / " &amp;Inputs!$E$18)</f>
        <v>US$ / CAD</v>
      </c>
      <c r="I6" s="3" t="str">
        <f>(Inputs!$E$19 &amp; " / " &amp;Inputs!$E$18)</f>
        <v>US$ / CAD</v>
      </c>
      <c r="J6" s="3" t="str">
        <f>(Inputs!$E$19 &amp; " / " &amp;Inputs!$E$18)</f>
        <v>US$ / CAD</v>
      </c>
      <c r="K6" s="3" t="str">
        <f>(Inputs!$E$19 &amp; " / " &amp;Inputs!$E$18)</f>
        <v>US$ / CAD</v>
      </c>
      <c r="L6" s="3" t="str">
        <f>(Inputs!$E$19 &amp; " / " &amp;Inputs!$E$18)</f>
        <v>US$ / CAD</v>
      </c>
      <c r="M6" s="3" t="str">
        <f>(Inputs!$E$19 &amp; " / " &amp;Inputs!$E$18)</f>
        <v>US$ / CAD</v>
      </c>
      <c r="N6" s="3" t="str">
        <f>(Inputs!$E$19 &amp; " / " &amp;Inputs!$E$18)</f>
        <v>US$ / CAD</v>
      </c>
      <c r="O6" s="3" t="str">
        <f>(Inputs!$E$19 &amp; " / " &amp;Inputs!$E$18)</f>
        <v>US$ / CAD</v>
      </c>
      <c r="P6" s="3" t="str">
        <f>(Inputs!$E$19 &amp; " / " &amp;Inputs!$E$18)</f>
        <v>US$ / CAD</v>
      </c>
      <c r="Q6" s="3" t="str">
        <f>(Inputs!$E$19 &amp; " / " &amp;Inputs!$E$18)</f>
        <v>US$ / CAD</v>
      </c>
      <c r="R6" s="3" t="str">
        <f>(Inputs!$E$19 &amp; " / " &amp;Inputs!$E$18)</f>
        <v>US$ / CAD</v>
      </c>
      <c r="S6" s="3" t="str">
        <f>(Inputs!$E$19 &amp; " / " &amp;Inputs!$E$18)</f>
        <v>US$ / CAD</v>
      </c>
      <c r="T6" s="3" t="str">
        <f>(Inputs!$E$19 &amp; " / " &amp;Inputs!$E$18)</f>
        <v>US$ / CAD</v>
      </c>
      <c r="U6" s="3" t="str">
        <f>(Inputs!$E$19 &amp; " / " &amp;Inputs!$E$18)</f>
        <v>US$ / CAD</v>
      </c>
      <c r="V6" s="3" t="str">
        <f>(Inputs!$E$19 &amp; " / " &amp;Inputs!$E$18)</f>
        <v>US$ / CAD</v>
      </c>
      <c r="W6" s="3" t="str">
        <f>(Inputs!$E$19 &amp; " / " &amp;Inputs!$E$18)</f>
        <v>US$ / CAD</v>
      </c>
      <c r="X6" s="3" t="str">
        <f>(Inputs!$E$19 &amp; " / " &amp;Inputs!$E$18)</f>
        <v>US$ / CAD</v>
      </c>
      <c r="Y6" s="3" t="str">
        <f>(Inputs!$E$19 &amp; " / " &amp;Inputs!$E$18)</f>
        <v>US$ / CAD</v>
      </c>
      <c r="Z6" s="3" t="str">
        <f>(Inputs!$E$19 &amp; " / " &amp;Inputs!$E$18)</f>
        <v>US$ / CAD</v>
      </c>
      <c r="AA6" s="3" t="str">
        <f>(Inputs!$E$19 &amp; " / " &amp;Inputs!$E$18)</f>
        <v>US$ / CAD</v>
      </c>
      <c r="AB6" s="3" t="str">
        <f>(Inputs!$E$19 &amp; " / " &amp;Inputs!$E$18)</f>
        <v>US$ / CAD</v>
      </c>
    </row>
    <row r="7" spans="1:28" x14ac:dyDescent="0.3">
      <c r="A7" s="3"/>
      <c r="B7" s="83">
        <f>Inputs!E29</f>
        <v>1.2746</v>
      </c>
      <c r="C7" s="83">
        <f>Inputs!F29</f>
        <v>1.2381</v>
      </c>
      <c r="D7" s="83">
        <f>Inputs!G29</f>
        <v>1.3397000000000001</v>
      </c>
      <c r="E7" s="83">
        <f>Inputs!H29</f>
        <v>1.3847538600013849</v>
      </c>
      <c r="F7" s="83">
        <f>Inputs!I29</f>
        <v>1.2953000000000001</v>
      </c>
      <c r="G7" s="83">
        <f>Inputs!J29</f>
        <v>1.2927999999999999</v>
      </c>
      <c r="H7" s="83">
        <f>Inputs!K29</f>
        <v>1.3127</v>
      </c>
      <c r="I7" s="83">
        <f>Inputs!L29</f>
        <v>1.3425</v>
      </c>
      <c r="J7" s="83">
        <f>Inputs!M29</f>
        <v>1.3317999999999999</v>
      </c>
      <c r="K7" s="83">
        <f>Inputs!N29</f>
        <v>1.3308</v>
      </c>
      <c r="L7" s="83">
        <f>Inputs!O29</f>
        <v>1.2716000000000001</v>
      </c>
      <c r="M7" s="83">
        <f>Inputs!P29</f>
        <v>1.2570999999999999</v>
      </c>
      <c r="N7" s="83">
        <f>Inputs!Q29</f>
        <v>1.29</v>
      </c>
      <c r="O7" s="83">
        <f>Inputs!R29</f>
        <v>1.31335</v>
      </c>
      <c r="P7" s="83">
        <f>Inputs!S29</f>
        <v>1.2907999999999999</v>
      </c>
      <c r="Q7" s="83">
        <f>Inputs!T29</f>
        <v>1.3613</v>
      </c>
      <c r="R7" s="83">
        <f>Inputs!U29</f>
        <v>1.3349</v>
      </c>
      <c r="S7" s="83">
        <f>Inputs!V29</f>
        <v>1.3094999999999999</v>
      </c>
      <c r="T7" s="83">
        <f>Inputs!W29</f>
        <v>1.3240799999999999</v>
      </c>
      <c r="U7" s="83">
        <f>Inputs!X29</f>
        <v>1.2989999999999999</v>
      </c>
      <c r="V7" s="83">
        <f>Inputs!Y29</f>
        <v>1.4117611124</v>
      </c>
      <c r="W7" s="83">
        <f>Inputs!Z29</f>
        <v>1.3575999999999999</v>
      </c>
      <c r="X7" s="83">
        <f>Inputs!AA29</f>
        <v>1.3321000000000001</v>
      </c>
      <c r="Y7" s="83">
        <f>Inputs!AB29</f>
        <v>1.3321000000000001</v>
      </c>
      <c r="Z7" s="83">
        <f>Inputs!AC29</f>
        <v>1.2564</v>
      </c>
      <c r="AA7" s="83">
        <f>Inputs!AD29</f>
        <v>1.2396</v>
      </c>
      <c r="AB7" s="83">
        <f>Inputs!AE29</f>
        <v>1.2684</v>
      </c>
    </row>
    <row r="8" spans="1:28" x14ac:dyDescent="0.3">
      <c r="A8" s="85" t="s">
        <v>75</v>
      </c>
      <c r="B8" s="58">
        <f>'Interim Balance Sheet Reported'!B8/'Interim Balance Sheet US$'!B$7</f>
        <v>4896.4380982268949</v>
      </c>
      <c r="C8" s="58">
        <f>'Interim Balance Sheet Reported'!C8/'Interim Balance Sheet US$'!C$7</f>
        <v>5069.8651159034007</v>
      </c>
      <c r="D8" s="58">
        <f>'Interim Balance Sheet Reported'!D8/'Interim Balance Sheet US$'!D$7</f>
        <v>4962.3049936552952</v>
      </c>
      <c r="E8" s="58">
        <f>'Interim Balance Sheet Reported'!E8/'Interim Balance Sheet US$'!E$7</f>
        <v>3905.3871999999997</v>
      </c>
      <c r="F8" s="58">
        <f>'Interim Balance Sheet Reported'!F8/'Interim Balance Sheet US$'!F$7</f>
        <v>5965.4134177410633</v>
      </c>
      <c r="G8" s="58">
        <f>'Interim Balance Sheet Reported'!G8/'Interim Balance Sheet US$'!G$7</f>
        <v>6660.7363861386139</v>
      </c>
      <c r="H8" s="58">
        <f>'Interim Balance Sheet Reported'!H8/'Interim Balance Sheet US$'!H$7</f>
        <v>6477.4891445113126</v>
      </c>
      <c r="I8" s="58">
        <f>'Interim Balance Sheet Reported'!I8/'Interim Balance Sheet US$'!I$7</f>
        <v>5062.1973929236501</v>
      </c>
      <c r="J8" s="58">
        <f>'Interim Balance Sheet Reported'!J8/'Interim Balance Sheet US$'!J$7</f>
        <v>6641.3875957350956</v>
      </c>
      <c r="K8" s="58">
        <f>'Interim Balance Sheet Reported'!K8/'Interim Balance Sheet US$'!K$7</f>
        <v>6862.7892996693718</v>
      </c>
      <c r="L8" s="58">
        <f>'Interim Balance Sheet Reported'!L8/'Interim Balance Sheet US$'!L$7</f>
        <v>7134.3189682290022</v>
      </c>
      <c r="M8" s="58">
        <f>'Interim Balance Sheet Reported'!M8/'Interim Balance Sheet US$'!M$7</f>
        <v>6000.3181926656598</v>
      </c>
      <c r="N8" s="58">
        <f>'Interim Balance Sheet Reported'!N8/'Interim Balance Sheet US$'!N$7</f>
        <v>7637.2093023255811</v>
      </c>
      <c r="O8" s="58">
        <f>'Interim Balance Sheet Reported'!O8/'Interim Balance Sheet US$'!O$7</f>
        <v>7546.3509346328092</v>
      </c>
      <c r="P8" s="58">
        <f>'Interim Balance Sheet Reported'!P8/'Interim Balance Sheet US$'!P$7</f>
        <v>7599.9380229315157</v>
      </c>
      <c r="Q8" s="58">
        <f>'Interim Balance Sheet Reported'!Q8/'Interim Balance Sheet US$'!Q$7</f>
        <v>5956.805994270183</v>
      </c>
      <c r="R8" s="58">
        <f>'Interim Balance Sheet Reported'!R8/'Interim Balance Sheet US$'!R$7</f>
        <v>9647.9137014008538</v>
      </c>
      <c r="S8" s="58">
        <f>'Interim Balance Sheet Reported'!S8/'Interim Balance Sheet US$'!S$7</f>
        <v>9985.4906452844607</v>
      </c>
      <c r="T8" s="58">
        <f>'Interim Balance Sheet Reported'!T8/'Interim Balance Sheet US$'!T$7</f>
        <v>9710.1383602199276</v>
      </c>
      <c r="U8" s="58">
        <f>'Interim Balance Sheet Reported'!U8/'Interim Balance Sheet US$'!U$7</f>
        <v>6392.6096997690538</v>
      </c>
      <c r="V8" s="58">
        <f>'Interim Balance Sheet Reported'!V8/'Interim Balance Sheet US$'!V$7</f>
        <v>7084.768033450473</v>
      </c>
      <c r="W8" s="58">
        <f>'Interim Balance Sheet Reported'!W8/'Interim Balance Sheet US$'!W$7</f>
        <v>6035.6511490866242</v>
      </c>
      <c r="X8" s="58">
        <f>'Interim Balance Sheet Reported'!X8/'Interim Balance Sheet US$'!X$7</f>
        <v>6144.4336010809993</v>
      </c>
      <c r="Y8" s="58">
        <f>'Interim Balance Sheet Reported'!Y8/'Interim Balance Sheet US$'!Y$7</f>
        <v>5879.4384805945501</v>
      </c>
      <c r="Z8" s="58">
        <f>'Interim Balance Sheet Reported'!Z8/'Interim Balance Sheet US$'!Z$7</f>
        <v>9629.8949379178612</v>
      </c>
      <c r="AA8" s="58">
        <f>'Interim Balance Sheet Reported'!AA8/'Interim Balance Sheet US$'!AA$7</f>
        <v>9661.9877379799927</v>
      </c>
      <c r="AB8" s="58">
        <f>'Interim Balance Sheet Reported'!AB8/'Interim Balance Sheet US$'!AB$7</f>
        <v>9251.8133081046999</v>
      </c>
    </row>
    <row r="9" spans="1:28" x14ac:dyDescent="0.3">
      <c r="A9" s="85" t="s">
        <v>76</v>
      </c>
      <c r="B9" s="58">
        <f>'Interim Balance Sheet Reported'!B9/'Interim Balance Sheet US$'!B$7</f>
        <v>0</v>
      </c>
      <c r="C9" s="58">
        <f>'Interim Balance Sheet Reported'!C9/'Interim Balance Sheet US$'!C$7</f>
        <v>0</v>
      </c>
      <c r="D9" s="58">
        <f>'Interim Balance Sheet Reported'!D9/'Interim Balance Sheet US$'!D$7</f>
        <v>0</v>
      </c>
      <c r="E9" s="58">
        <f>'Interim Balance Sheet Reported'!E9/'Interim Balance Sheet US$'!E$7</f>
        <v>181.98179999999999</v>
      </c>
      <c r="F9" s="58">
        <f>'Interim Balance Sheet Reported'!F9/'Interim Balance Sheet US$'!F$7</f>
        <v>0</v>
      </c>
      <c r="G9" s="58">
        <f>'Interim Balance Sheet Reported'!G9/'Interim Balance Sheet US$'!G$7</f>
        <v>0</v>
      </c>
      <c r="H9" s="58">
        <f>'Interim Balance Sheet Reported'!H9/'Interim Balance Sheet US$'!H$7</f>
        <v>0</v>
      </c>
      <c r="I9" s="58">
        <f>'Interim Balance Sheet Reported'!I9/'Interim Balance Sheet US$'!I$7</f>
        <v>174.30167597765362</v>
      </c>
      <c r="J9" s="58">
        <f>'Interim Balance Sheet Reported'!J9/'Interim Balance Sheet US$'!J$7</f>
        <v>0</v>
      </c>
      <c r="K9" s="58">
        <f>'Interim Balance Sheet Reported'!K9/'Interim Balance Sheet US$'!K$7</f>
        <v>0</v>
      </c>
      <c r="L9" s="58">
        <f>'Interim Balance Sheet Reported'!L9/'Interim Balance Sheet US$'!L$7</f>
        <v>0</v>
      </c>
      <c r="M9" s="58">
        <f>'Interim Balance Sheet Reported'!M9/'Interim Balance Sheet US$'!M$7</f>
        <v>0</v>
      </c>
      <c r="N9" s="58">
        <f>'Interim Balance Sheet Reported'!N9/'Interim Balance Sheet US$'!N$7</f>
        <v>0</v>
      </c>
      <c r="O9" s="58">
        <f>'Interim Balance Sheet Reported'!O9/'Interim Balance Sheet US$'!O$7</f>
        <v>0</v>
      </c>
      <c r="P9" s="58">
        <f>'Interim Balance Sheet Reported'!P9/'Interim Balance Sheet US$'!P$7</f>
        <v>0</v>
      </c>
      <c r="Q9" s="58">
        <f>'Interim Balance Sheet Reported'!Q9/'Interim Balance Sheet US$'!Q$7</f>
        <v>1865.8635128186293</v>
      </c>
      <c r="R9" s="58">
        <f>'Interim Balance Sheet Reported'!R9/'Interim Balance Sheet US$'!R$7</f>
        <v>0</v>
      </c>
      <c r="S9" s="58">
        <f>'Interim Balance Sheet Reported'!S9/'Interim Balance Sheet US$'!S$7</f>
        <v>0</v>
      </c>
      <c r="T9" s="58">
        <f>'Interim Balance Sheet Reported'!T9/'Interim Balance Sheet US$'!T$7</f>
        <v>0</v>
      </c>
      <c r="U9" s="58">
        <f>'Interim Balance Sheet Reported'!U9/'Interim Balance Sheet US$'!U$7</f>
        <v>2172.4403387220941</v>
      </c>
      <c r="V9" s="58">
        <f>'Interim Balance Sheet Reported'!V9/'Interim Balance Sheet US$'!V$7</f>
        <v>2032.9218412320392</v>
      </c>
      <c r="W9" s="58">
        <f>'Interim Balance Sheet Reported'!W9/'Interim Balance Sheet US$'!W$7</f>
        <v>1694.9027695934003</v>
      </c>
      <c r="X9" s="58">
        <f>'Interim Balance Sheet Reported'!X9/'Interim Balance Sheet US$'!X$7</f>
        <v>1854.9658434051496</v>
      </c>
      <c r="Y9" s="58">
        <f>'Interim Balance Sheet Reported'!Y9/'Interim Balance Sheet US$'!Y$7</f>
        <v>2135.7255461301702</v>
      </c>
      <c r="Z9" s="58">
        <f>'Interim Balance Sheet Reported'!Z9/'Interim Balance Sheet US$'!Z$7</f>
        <v>0</v>
      </c>
      <c r="AA9" s="58">
        <f>'Interim Balance Sheet Reported'!AA9/'Interim Balance Sheet US$'!AA$7</f>
        <v>0</v>
      </c>
      <c r="AB9" s="58">
        <f>'Interim Balance Sheet Reported'!AB9/'Interim Balance Sheet US$'!AB$7</f>
        <v>0</v>
      </c>
    </row>
    <row r="10" spans="1:28" x14ac:dyDescent="0.3">
      <c r="A10" s="85" t="s">
        <v>77</v>
      </c>
      <c r="B10" s="58">
        <f>'Interim Balance Sheet Reported'!B10/'Interim Balance Sheet US$'!B$7</f>
        <v>0</v>
      </c>
      <c r="C10" s="58">
        <f>'Interim Balance Sheet Reported'!C10/'Interim Balance Sheet US$'!C$7</f>
        <v>0</v>
      </c>
      <c r="D10" s="58">
        <f>'Interim Balance Sheet Reported'!D10/'Interim Balance Sheet US$'!D$7</f>
        <v>0</v>
      </c>
      <c r="E10" s="58">
        <f>'Interim Balance Sheet Reported'!E10/'Interim Balance Sheet US$'!E$7</f>
        <v>556.05549999999994</v>
      </c>
      <c r="F10" s="58">
        <f>'Interim Balance Sheet Reported'!F10/'Interim Balance Sheet US$'!F$7</f>
        <v>0</v>
      </c>
      <c r="G10" s="58">
        <f>'Interim Balance Sheet Reported'!G10/'Interim Balance Sheet US$'!G$7</f>
        <v>0</v>
      </c>
      <c r="H10" s="58">
        <f>'Interim Balance Sheet Reported'!H10/'Interim Balance Sheet US$'!H$7</f>
        <v>0</v>
      </c>
      <c r="I10" s="58">
        <f>'Interim Balance Sheet Reported'!I10/'Interim Balance Sheet US$'!I$7</f>
        <v>668.15642458100558</v>
      </c>
      <c r="J10" s="58">
        <f>'Interim Balance Sheet Reported'!J10/'Interim Balance Sheet US$'!J$7</f>
        <v>0</v>
      </c>
      <c r="K10" s="58">
        <f>'Interim Balance Sheet Reported'!K10/'Interim Balance Sheet US$'!K$7</f>
        <v>0</v>
      </c>
      <c r="L10" s="58">
        <f>'Interim Balance Sheet Reported'!L10/'Interim Balance Sheet US$'!L$7</f>
        <v>0</v>
      </c>
      <c r="M10" s="58">
        <f>'Interim Balance Sheet Reported'!M10/'Interim Balance Sheet US$'!M$7</f>
        <v>845.59700898894289</v>
      </c>
      <c r="N10" s="58">
        <f>'Interim Balance Sheet Reported'!N10/'Interim Balance Sheet US$'!N$7</f>
        <v>0</v>
      </c>
      <c r="O10" s="58">
        <f>'Interim Balance Sheet Reported'!O10/'Interim Balance Sheet US$'!O$7</f>
        <v>0</v>
      </c>
      <c r="P10" s="58">
        <f>'Interim Balance Sheet Reported'!P10/'Interim Balance Sheet US$'!P$7</f>
        <v>0</v>
      </c>
      <c r="Q10" s="58">
        <f>'Interim Balance Sheet Reported'!Q10/'Interim Balance Sheet US$'!Q$7</f>
        <v>685.37427459046501</v>
      </c>
      <c r="R10" s="58">
        <f>'Interim Balance Sheet Reported'!R10/'Interim Balance Sheet US$'!R$7</f>
        <v>0</v>
      </c>
      <c r="S10" s="58">
        <f>'Interim Balance Sheet Reported'!S10/'Interim Balance Sheet US$'!S$7</f>
        <v>0</v>
      </c>
      <c r="T10" s="58">
        <f>'Interim Balance Sheet Reported'!T10/'Interim Balance Sheet US$'!T$7</f>
        <v>0</v>
      </c>
      <c r="U10" s="58">
        <f>'Interim Balance Sheet Reported'!U10/'Interim Balance Sheet US$'!U$7</f>
        <v>801.38568129330258</v>
      </c>
      <c r="V10" s="58">
        <f>'Interim Balance Sheet Reported'!V10/'Interim Balance Sheet US$'!V$7</f>
        <v>0</v>
      </c>
      <c r="W10" s="58">
        <f>'Interim Balance Sheet Reported'!W10/'Interim Balance Sheet US$'!W$7</f>
        <v>584.85562757807895</v>
      </c>
      <c r="X10" s="58">
        <f>'Interim Balance Sheet Reported'!X10/'Interim Balance Sheet US$'!X$7</f>
        <v>596.80204188874711</v>
      </c>
      <c r="Y10" s="58">
        <f>'Interim Balance Sheet Reported'!Y10/'Interim Balance Sheet US$'!Y$7</f>
        <v>566.02357180391857</v>
      </c>
      <c r="Z10" s="58">
        <f>'Interim Balance Sheet Reported'!Z10/'Interim Balance Sheet US$'!Z$7</f>
        <v>0</v>
      </c>
      <c r="AA10" s="58">
        <f>'Interim Balance Sheet Reported'!AA10/'Interim Balance Sheet US$'!AA$7</f>
        <v>0</v>
      </c>
      <c r="AB10" s="58">
        <f>'Interim Balance Sheet Reported'!AB10/'Interim Balance Sheet US$'!AB$7</f>
        <v>0</v>
      </c>
    </row>
    <row r="11" spans="1:28" x14ac:dyDescent="0.3">
      <c r="A11" s="85" t="s">
        <v>78</v>
      </c>
      <c r="B11" s="58">
        <f>'Interim Balance Sheet Reported'!B11/'Interim Balance Sheet US$'!B$7</f>
        <v>0</v>
      </c>
      <c r="C11" s="58">
        <f>'Interim Balance Sheet Reported'!C11/'Interim Balance Sheet US$'!C$7</f>
        <v>0</v>
      </c>
      <c r="D11" s="58">
        <f>'Interim Balance Sheet Reported'!D11/'Interim Balance Sheet US$'!D$7</f>
        <v>0</v>
      </c>
      <c r="E11" s="58">
        <f>'Interim Balance Sheet Reported'!E11/'Interim Balance Sheet US$'!E$7</f>
        <v>296.08149999999995</v>
      </c>
      <c r="F11" s="58">
        <f>'Interim Balance Sheet Reported'!F11/'Interim Balance Sheet US$'!F$7</f>
        <v>0</v>
      </c>
      <c r="G11" s="58">
        <f>'Interim Balance Sheet Reported'!G11/'Interim Balance Sheet US$'!G$7</f>
        <v>0</v>
      </c>
      <c r="H11" s="58">
        <f>'Interim Balance Sheet Reported'!H11/'Interim Balance Sheet US$'!H$7</f>
        <v>0</v>
      </c>
      <c r="I11" s="58">
        <f>'Interim Balance Sheet Reported'!I11/'Interim Balance Sheet US$'!I$7</f>
        <v>304.65549348230911</v>
      </c>
      <c r="J11" s="58">
        <f>'Interim Balance Sheet Reported'!J11/'Interim Balance Sheet US$'!J$7</f>
        <v>0</v>
      </c>
      <c r="K11" s="58">
        <f>'Interim Balance Sheet Reported'!K11/'Interim Balance Sheet US$'!K$7</f>
        <v>0</v>
      </c>
      <c r="L11" s="58">
        <f>'Interim Balance Sheet Reported'!L11/'Interim Balance Sheet US$'!L$7</f>
        <v>0</v>
      </c>
      <c r="M11" s="58">
        <f>'Interim Balance Sheet Reported'!M11/'Interim Balance Sheet US$'!M$7</f>
        <v>348.42096889666698</v>
      </c>
      <c r="N11" s="58">
        <f>'Interim Balance Sheet Reported'!N11/'Interim Balance Sheet US$'!N$7</f>
        <v>0</v>
      </c>
      <c r="O11" s="58">
        <f>'Interim Balance Sheet Reported'!O11/'Interim Balance Sheet US$'!O$7</f>
        <v>0</v>
      </c>
      <c r="P11" s="58">
        <f>'Interim Balance Sheet Reported'!P11/'Interim Balance Sheet US$'!P$7</f>
        <v>0</v>
      </c>
      <c r="Q11" s="58">
        <f>'Interim Balance Sheet Reported'!Q11/'Interim Balance Sheet US$'!Q$7</f>
        <v>296.77514140894732</v>
      </c>
      <c r="R11" s="58">
        <f>'Interim Balance Sheet Reported'!R11/'Interim Balance Sheet US$'!R$7</f>
        <v>0</v>
      </c>
      <c r="S11" s="58">
        <f>'Interim Balance Sheet Reported'!S11/'Interim Balance Sheet US$'!S$7</f>
        <v>0</v>
      </c>
      <c r="T11" s="58">
        <f>'Interim Balance Sheet Reported'!T11/'Interim Balance Sheet US$'!T$7</f>
        <v>0</v>
      </c>
      <c r="U11" s="58">
        <f>'Interim Balance Sheet Reported'!U11/'Interim Balance Sheet US$'!U$7</f>
        <v>324.86528098537337</v>
      </c>
      <c r="V11" s="58">
        <f>'Interim Balance Sheet Reported'!V11/'Interim Balance Sheet US$'!V$7</f>
        <v>0</v>
      </c>
      <c r="W11" s="58">
        <f>'Interim Balance Sheet Reported'!W11/'Interim Balance Sheet US$'!W$7</f>
        <v>617.26576311137308</v>
      </c>
      <c r="X11" s="58">
        <f>'Interim Balance Sheet Reported'!X11/'Interim Balance Sheet US$'!X$7</f>
        <v>365.58816905637713</v>
      </c>
      <c r="Y11" s="58">
        <f>'Interim Balance Sheet Reported'!Y11/'Interim Balance Sheet US$'!Y$7</f>
        <v>360.33330831018691</v>
      </c>
      <c r="Z11" s="58">
        <f>'Interim Balance Sheet Reported'!Z11/'Interim Balance Sheet US$'!Z$7</f>
        <v>0</v>
      </c>
      <c r="AA11" s="58">
        <f>'Interim Balance Sheet Reported'!AA11/'Interim Balance Sheet US$'!AA$7</f>
        <v>0</v>
      </c>
      <c r="AB11" s="58">
        <f>'Interim Balance Sheet Reported'!AB11/'Interim Balance Sheet US$'!AB$7</f>
        <v>0</v>
      </c>
    </row>
    <row r="12" spans="1:28" x14ac:dyDescent="0.3">
      <c r="A12" s="85" t="s">
        <v>79</v>
      </c>
      <c r="B12" s="60">
        <f>'Interim Balance Sheet Reported'!B12/'Interim Balance Sheet US$'!B$7</f>
        <v>0</v>
      </c>
      <c r="C12" s="60">
        <f>'Interim Balance Sheet Reported'!C12/'Interim Balance Sheet US$'!C$7</f>
        <v>0</v>
      </c>
      <c r="D12" s="60">
        <f>'Interim Balance Sheet Reported'!D12/'Interim Balance Sheet US$'!D$7</f>
        <v>0</v>
      </c>
      <c r="E12" s="60">
        <f>'Interim Balance Sheet Reported'!E12/'Interim Balance Sheet US$'!E$7</f>
        <v>137.20849999999999</v>
      </c>
      <c r="F12" s="60">
        <f>'Interim Balance Sheet Reported'!F12/'Interim Balance Sheet US$'!F$7</f>
        <v>0</v>
      </c>
      <c r="G12" s="60">
        <f>'Interim Balance Sheet Reported'!G12/'Interim Balance Sheet US$'!G$7</f>
        <v>0</v>
      </c>
      <c r="H12" s="60">
        <f>'Interim Balance Sheet Reported'!H12/'Interim Balance Sheet US$'!H$7</f>
        <v>0</v>
      </c>
      <c r="I12" s="60">
        <f>'Interim Balance Sheet Reported'!I12/'Interim Balance Sheet US$'!I$7</f>
        <v>137.05772811918064</v>
      </c>
      <c r="J12" s="60">
        <f>'Interim Balance Sheet Reported'!J12/'Interim Balance Sheet US$'!J$7</f>
        <v>0</v>
      </c>
      <c r="K12" s="60">
        <f>'Interim Balance Sheet Reported'!K12/'Interim Balance Sheet US$'!K$7</f>
        <v>0</v>
      </c>
      <c r="L12" s="60">
        <f>'Interim Balance Sheet Reported'!L12/'Interim Balance Sheet US$'!L$7</f>
        <v>0</v>
      </c>
      <c r="M12" s="60">
        <f>'Interim Balance Sheet Reported'!M12/'Interim Balance Sheet US$'!M$7</f>
        <v>165.46018614270943</v>
      </c>
      <c r="N12" s="60">
        <f>'Interim Balance Sheet Reported'!N12/'Interim Balance Sheet US$'!N$7</f>
        <v>0</v>
      </c>
      <c r="O12" s="60">
        <f>'Interim Balance Sheet Reported'!O12/'Interim Balance Sheet US$'!O$7</f>
        <v>0</v>
      </c>
      <c r="P12" s="60">
        <f>'Interim Balance Sheet Reported'!P12/'Interim Balance Sheet US$'!P$7</f>
        <v>0</v>
      </c>
      <c r="Q12" s="60">
        <f>'Interim Balance Sheet Reported'!Q12/'Interim Balance Sheet US$'!Q$7</f>
        <v>144.71461103357086</v>
      </c>
      <c r="R12" s="60">
        <f>'Interim Balance Sheet Reported'!R12/'Interim Balance Sheet US$'!R$7</f>
        <v>0</v>
      </c>
      <c r="S12" s="60">
        <f>'Interim Balance Sheet Reported'!S12/'Interim Balance Sheet US$'!S$7</f>
        <v>0</v>
      </c>
      <c r="T12" s="60">
        <f>'Interim Balance Sheet Reported'!T12/'Interim Balance Sheet US$'!T$7</f>
        <v>0</v>
      </c>
      <c r="U12" s="60">
        <f>'Interim Balance Sheet Reported'!U12/'Interim Balance Sheet US$'!U$7</f>
        <v>188.60662047729022</v>
      </c>
      <c r="V12" s="60">
        <f>'Interim Balance Sheet Reported'!V12/'Interim Balance Sheet US$'!V$7</f>
        <v>0</v>
      </c>
      <c r="W12" s="60">
        <f>'Interim Balance Sheet Reported'!W12/'Interim Balance Sheet US$'!W$7</f>
        <v>178.25574543311728</v>
      </c>
      <c r="X12" s="60">
        <f>'Interim Balance Sheet Reported'!X12/'Interim Balance Sheet US$'!X$7</f>
        <v>174.16109901659033</v>
      </c>
      <c r="Y12" s="60">
        <f>'Interim Balance Sheet Reported'!Y12/'Interim Balance Sheet US$'!Y$7</f>
        <v>169.65693266271299</v>
      </c>
      <c r="Z12" s="60">
        <f>'Interim Balance Sheet Reported'!Z12/'Interim Balance Sheet US$'!Z$7</f>
        <v>0</v>
      </c>
      <c r="AA12" s="60">
        <f>'Interim Balance Sheet Reported'!AA12/'Interim Balance Sheet US$'!AA$7</f>
        <v>0</v>
      </c>
      <c r="AB12" s="60">
        <f>'Interim Balance Sheet Reported'!AB12/'Interim Balance Sheet US$'!AB$7</f>
        <v>0</v>
      </c>
    </row>
    <row r="13" spans="1:28" x14ac:dyDescent="0.3">
      <c r="A13" s="14" t="s">
        <v>80</v>
      </c>
      <c r="B13" s="22">
        <f t="shared" ref="B13:H13" si="0">SUM(B8:B12)</f>
        <v>4896.4380982268949</v>
      </c>
      <c r="C13" s="22">
        <f t="shared" si="0"/>
        <v>5069.8651159034007</v>
      </c>
      <c r="D13" s="22">
        <f t="shared" si="0"/>
        <v>4962.3049936552952</v>
      </c>
      <c r="E13" s="22">
        <f t="shared" si="0"/>
        <v>5076.7144999999991</v>
      </c>
      <c r="F13" s="22">
        <f t="shared" si="0"/>
        <v>5965.4134177410633</v>
      </c>
      <c r="G13" s="22">
        <f t="shared" si="0"/>
        <v>6660.7363861386139</v>
      </c>
      <c r="H13" s="22">
        <f t="shared" si="0"/>
        <v>6477.4891445113126</v>
      </c>
      <c r="I13" s="22">
        <f>'Interim Balance Sheet Reported'!I13/'Interim Balance Sheet US$'!I$7</f>
        <v>6346.3687150837986</v>
      </c>
      <c r="J13" s="22">
        <f>'Interim Balance Sheet Reported'!J13/'Interim Balance Sheet US$'!J$7</f>
        <v>6641.3875957350956</v>
      </c>
      <c r="K13" s="22">
        <f>'Interim Balance Sheet Reported'!K13/'Interim Balance Sheet US$'!K$7</f>
        <v>6862.7892996693718</v>
      </c>
      <c r="L13" s="22">
        <f>'Interim Balance Sheet Reported'!L13/'Interim Balance Sheet US$'!L$7</f>
        <v>7134.3189682290022</v>
      </c>
      <c r="M13" s="22">
        <f>'Interim Balance Sheet Reported'!M13/'Interim Balance Sheet US$'!M$7</f>
        <v>7359.7963566939789</v>
      </c>
      <c r="N13" s="22">
        <f>'Interim Balance Sheet Reported'!N13/'Interim Balance Sheet US$'!N$7</f>
        <v>7637.2093023255811</v>
      </c>
      <c r="O13" s="22">
        <f>'Interim Balance Sheet Reported'!O13/'Interim Balance Sheet US$'!O$7</f>
        <v>7546.3509346328092</v>
      </c>
      <c r="P13" s="22">
        <f>'Interim Balance Sheet Reported'!P13/'Interim Balance Sheet US$'!P$7</f>
        <v>7599.9380229315157</v>
      </c>
      <c r="Q13" s="22">
        <f>'Interim Balance Sheet Reported'!Q13/'Interim Balance Sheet US$'!Q$7</f>
        <v>8949.533534121796</v>
      </c>
      <c r="R13" s="22">
        <f>'Interim Balance Sheet Reported'!R13/'Interim Balance Sheet US$'!R$7</f>
        <v>9647.9137014008538</v>
      </c>
      <c r="S13" s="22">
        <f>'Interim Balance Sheet Reported'!S13/'Interim Balance Sheet US$'!S$7</f>
        <v>9985.4906452844607</v>
      </c>
      <c r="T13" s="22">
        <f>'Interim Balance Sheet Reported'!T13/'Interim Balance Sheet US$'!T$7</f>
        <v>9710.1383602199276</v>
      </c>
      <c r="U13" s="22">
        <f>'Interim Balance Sheet Reported'!U13/'Interim Balance Sheet US$'!U$7</f>
        <v>9879.9076212471136</v>
      </c>
      <c r="V13" s="22">
        <f>'Interim Balance Sheet Reported'!V13/'Interim Balance Sheet US$'!V$7</f>
        <v>9117.6898746825118</v>
      </c>
      <c r="W13" s="22">
        <f>'Interim Balance Sheet Reported'!W13/'Interim Balance Sheet US$'!W$7</f>
        <v>9110.9310548025933</v>
      </c>
      <c r="X13" s="22">
        <f>'Interim Balance Sheet Reported'!X13/'Interim Balance Sheet US$'!X$7</f>
        <v>9135.9507544478638</v>
      </c>
      <c r="Y13" s="22">
        <f>'Interim Balance Sheet Reported'!Y13/'Interim Balance Sheet US$'!Y$7</f>
        <v>9111.177839501539</v>
      </c>
      <c r="Z13" s="22">
        <f>'Interim Balance Sheet Reported'!Z13/'Interim Balance Sheet US$'!Z$7</f>
        <v>9629.8949379178612</v>
      </c>
      <c r="AA13" s="22">
        <f>'Interim Balance Sheet Reported'!AA13/'Interim Balance Sheet US$'!AA$7</f>
        <v>9661.9877379799927</v>
      </c>
      <c r="AB13" s="22">
        <f>'Interim Balance Sheet Reported'!AB13/'Interim Balance Sheet US$'!AB$7</f>
        <v>9251.8133081046999</v>
      </c>
    </row>
    <row r="14" spans="1:28" x14ac:dyDescent="0.3">
      <c r="A14" s="85" t="s">
        <v>81</v>
      </c>
      <c r="B14" s="58">
        <f>'Interim Balance Sheet Reported'!B14/'Interim Balance Sheet US$'!B$7</f>
        <v>454.26016005021182</v>
      </c>
      <c r="C14" s="58">
        <f>'Interim Balance Sheet Reported'!C14/'Interim Balance Sheet US$'!C$7</f>
        <v>453.92133107180359</v>
      </c>
      <c r="D14" s="58">
        <f>'Interim Balance Sheet Reported'!D14/'Interim Balance Sheet US$'!D$7</f>
        <v>415.76472344554747</v>
      </c>
      <c r="E14" s="58">
        <f>'Interim Balance Sheet Reported'!E14/'Interim Balance Sheet US$'!E$7</f>
        <v>358.18639999999994</v>
      </c>
      <c r="F14" s="58">
        <f>'Interim Balance Sheet Reported'!F14/'Interim Balance Sheet US$'!F$7</f>
        <v>365.16637072492853</v>
      </c>
      <c r="G14" s="58">
        <f>'Interim Balance Sheet Reported'!G14/'Interim Balance Sheet US$'!G$7</f>
        <v>348.08168316831683</v>
      </c>
      <c r="H14" s="58">
        <f>'Interim Balance Sheet Reported'!H14/'Interim Balance Sheet US$'!H$7</f>
        <v>337.47238516035651</v>
      </c>
      <c r="I14" s="58">
        <f>'Interim Balance Sheet Reported'!I14/'Interim Balance Sheet US$'!I$7</f>
        <v>348.60335195530723</v>
      </c>
      <c r="J14" s="58">
        <f>'Interim Balance Sheet Reported'!J14/'Interim Balance Sheet US$'!J$7</f>
        <v>351.40411473194177</v>
      </c>
      <c r="K14" s="58">
        <f>'Interim Balance Sheet Reported'!K14/'Interim Balance Sheet US$'!K$7</f>
        <v>342.65103697024347</v>
      </c>
      <c r="L14" s="58">
        <f>'Interim Balance Sheet Reported'!L14/'Interim Balance Sheet US$'!L$7</f>
        <v>353.88486945580371</v>
      </c>
      <c r="M14" s="58">
        <f>'Interim Balance Sheet Reported'!M14/'Interim Balance Sheet US$'!M$7</f>
        <v>369.89897382865331</v>
      </c>
      <c r="N14" s="58">
        <f>'Interim Balance Sheet Reported'!N14/'Interim Balance Sheet US$'!N$7</f>
        <v>367.44186046511629</v>
      </c>
      <c r="O14" s="58">
        <f>'Interim Balance Sheet Reported'!O14/'Interim Balance Sheet US$'!O$7</f>
        <v>318.27007271481324</v>
      </c>
      <c r="P14" s="58">
        <f>'Interim Balance Sheet Reported'!P14/'Interim Balance Sheet US$'!P$7</f>
        <v>322.28075612023554</v>
      </c>
      <c r="Q14" s="58">
        <f>'Interim Balance Sheet Reported'!Q14/'Interim Balance Sheet US$'!Q$7</f>
        <v>294.57136560640566</v>
      </c>
      <c r="R14" s="58">
        <f>'Interim Balance Sheet Reported'!R14/'Interim Balance Sheet US$'!R$7</f>
        <v>477.18930256948084</v>
      </c>
      <c r="S14" s="58">
        <f>'Interim Balance Sheet Reported'!S14/'Interim Balance Sheet US$'!S$7</f>
        <v>539.90072546773581</v>
      </c>
      <c r="T14" s="58">
        <f>'Interim Balance Sheet Reported'!T14/'Interim Balance Sheet US$'!T$7</f>
        <v>698.59827200773373</v>
      </c>
      <c r="U14" s="58">
        <f>'Interim Balance Sheet Reported'!U14/'Interim Balance Sheet US$'!U$7</f>
        <v>720.55427251732101</v>
      </c>
      <c r="V14" s="58">
        <f>'Interim Balance Sheet Reported'!V14/'Interim Balance Sheet US$'!V$7</f>
        <v>503.62628192194421</v>
      </c>
      <c r="W14" s="58">
        <f>'Interim Balance Sheet Reported'!W14/'Interim Balance Sheet US$'!W$7</f>
        <v>570.12374779021809</v>
      </c>
      <c r="X14" s="58">
        <f>'Interim Balance Sheet Reported'!X14/'Interim Balance Sheet US$'!X$7</f>
        <v>521.73260265745807</v>
      </c>
      <c r="Y14" s="58">
        <f>'Interim Balance Sheet Reported'!Y14/'Interim Balance Sheet US$'!Y$7</f>
        <v>625.3284287966369</v>
      </c>
      <c r="Z14" s="58">
        <f>'Interim Balance Sheet Reported'!Z14/'Interim Balance Sheet US$'!Z$7</f>
        <v>749.76122254059214</v>
      </c>
      <c r="AA14" s="58">
        <f>'Interim Balance Sheet Reported'!AA14/'Interim Balance Sheet US$'!AA$7</f>
        <v>736.52791222975156</v>
      </c>
      <c r="AB14" s="58">
        <f>'Interim Balance Sheet Reported'!AB14/'Interim Balance Sheet US$'!AB$7</f>
        <v>863.2923368022706</v>
      </c>
    </row>
    <row r="15" spans="1:28" x14ac:dyDescent="0.3">
      <c r="A15" s="85" t="s">
        <v>82</v>
      </c>
      <c r="B15" s="58">
        <f>'Interim Balance Sheet Reported'!B15/'Interim Balance Sheet US$'!B$7</f>
        <v>0</v>
      </c>
      <c r="C15" s="58">
        <f>'Interim Balance Sheet Reported'!C15/'Interim Balance Sheet US$'!C$7</f>
        <v>0</v>
      </c>
      <c r="D15" s="58">
        <f>'Interim Balance Sheet Reported'!D15/'Interim Balance Sheet US$'!D$7</f>
        <v>0</v>
      </c>
      <c r="E15" s="58">
        <f>'Interim Balance Sheet Reported'!E15/'Interim Balance Sheet US$'!E$7</f>
        <v>0</v>
      </c>
      <c r="F15" s="58">
        <f>'Interim Balance Sheet Reported'!F15/'Interim Balance Sheet US$'!F$7</f>
        <v>0</v>
      </c>
      <c r="G15" s="58">
        <f>'Interim Balance Sheet Reported'!G15/'Interim Balance Sheet US$'!G$7</f>
        <v>0</v>
      </c>
      <c r="H15" s="58">
        <f>'Interim Balance Sheet Reported'!H15/'Interim Balance Sheet US$'!H$7</f>
        <v>0</v>
      </c>
      <c r="I15" s="58">
        <f>'Interim Balance Sheet Reported'!I15/'Interim Balance Sheet US$'!I$7</f>
        <v>0</v>
      </c>
      <c r="J15" s="58">
        <f>'Interim Balance Sheet Reported'!J15/'Interim Balance Sheet US$'!J$7</f>
        <v>0</v>
      </c>
      <c r="K15" s="58">
        <f>'Interim Balance Sheet Reported'!K15/'Interim Balance Sheet US$'!K$7</f>
        <v>0</v>
      </c>
      <c r="L15" s="58">
        <f>'Interim Balance Sheet Reported'!L15/'Interim Balance Sheet US$'!L$7</f>
        <v>0</v>
      </c>
      <c r="M15" s="58">
        <f>'Interim Balance Sheet Reported'!M15/'Interim Balance Sheet US$'!M$7</f>
        <v>0</v>
      </c>
      <c r="N15" s="58">
        <f>'Interim Balance Sheet Reported'!N15/'Interim Balance Sheet US$'!N$7</f>
        <v>0</v>
      </c>
      <c r="O15" s="58">
        <f>'Interim Balance Sheet Reported'!O15/'Interim Balance Sheet US$'!O$7</f>
        <v>0</v>
      </c>
      <c r="P15" s="58">
        <f>'Interim Balance Sheet Reported'!P15/'Interim Balance Sheet US$'!P$7</f>
        <v>0</v>
      </c>
      <c r="Q15" s="58">
        <f>'Interim Balance Sheet Reported'!Q15/'Interim Balance Sheet US$'!Q$7</f>
        <v>0</v>
      </c>
      <c r="R15" s="58">
        <f>'Interim Balance Sheet Reported'!R15/'Interim Balance Sheet US$'!R$7</f>
        <v>0</v>
      </c>
      <c r="S15" s="58">
        <f>'Interim Balance Sheet Reported'!S15/'Interim Balance Sheet US$'!S$7</f>
        <v>0</v>
      </c>
      <c r="T15" s="58">
        <f>'Interim Balance Sheet Reported'!T15/'Interim Balance Sheet US$'!T$7</f>
        <v>0</v>
      </c>
      <c r="U15" s="58">
        <f>'Interim Balance Sheet Reported'!U15/'Interim Balance Sheet US$'!U$7</f>
        <v>0</v>
      </c>
      <c r="V15" s="58">
        <f>'Interim Balance Sheet Reported'!V15/'Interim Balance Sheet US$'!V$7</f>
        <v>0</v>
      </c>
      <c r="W15" s="58">
        <f>'Interim Balance Sheet Reported'!W15/'Interim Balance Sheet US$'!W$7</f>
        <v>0</v>
      </c>
      <c r="X15" s="58">
        <f>'Interim Balance Sheet Reported'!X15/'Interim Balance Sheet US$'!X$7</f>
        <v>0</v>
      </c>
      <c r="Y15" s="58">
        <f>'Interim Balance Sheet Reported'!Y15/'Interim Balance Sheet US$'!Y$7</f>
        <v>0</v>
      </c>
      <c r="Z15" s="58">
        <f>'Interim Balance Sheet Reported'!Z15/'Interim Balance Sheet US$'!Z$7</f>
        <v>0</v>
      </c>
      <c r="AA15" s="58">
        <f>'Interim Balance Sheet Reported'!AA15/'Interim Balance Sheet US$'!AA$7</f>
        <v>0</v>
      </c>
      <c r="AB15" s="58">
        <f>'Interim Balance Sheet Reported'!AB15/'Interim Balance Sheet US$'!AB$7</f>
        <v>0</v>
      </c>
    </row>
    <row r="16" spans="1:28" x14ac:dyDescent="0.3">
      <c r="A16" s="85" t="s">
        <v>83</v>
      </c>
      <c r="B16" s="58">
        <f>'Interim Balance Sheet Reported'!B16/'Interim Balance Sheet US$'!B$7</f>
        <v>483.28887494115804</v>
      </c>
      <c r="C16" s="58">
        <f>'Interim Balance Sheet Reported'!C16/'Interim Balance Sheet US$'!C$7</f>
        <v>499.95961553994022</v>
      </c>
      <c r="D16" s="58">
        <f>'Interim Balance Sheet Reported'!D16/'Interim Balance Sheet US$'!D$7</f>
        <v>463.53661267447933</v>
      </c>
      <c r="E16" s="58">
        <f>'Interim Balance Sheet Reported'!E16/'Interim Balance Sheet US$'!E$7</f>
        <v>451.34374999999994</v>
      </c>
      <c r="F16" s="58">
        <f>'Interim Balance Sheet Reported'!F16/'Interim Balance Sheet US$'!F$7</f>
        <v>480.96965953833086</v>
      </c>
      <c r="G16" s="58">
        <f>'Interim Balance Sheet Reported'!G16/'Interim Balance Sheet US$'!G$7</f>
        <v>481.12623762376239</v>
      </c>
      <c r="H16" s="58">
        <f>'Interim Balance Sheet Reported'!H16/'Interim Balance Sheet US$'!H$7</f>
        <v>474.59434752799575</v>
      </c>
      <c r="I16" s="58">
        <f>'Interim Balance Sheet Reported'!I16/'Interim Balance Sheet US$'!I$7</f>
        <v>466.29422718808195</v>
      </c>
      <c r="J16" s="58">
        <f>'Interim Balance Sheet Reported'!J16/'Interim Balance Sheet US$'!J$7</f>
        <v>467.78795614957204</v>
      </c>
      <c r="K16" s="58">
        <f>'Interim Balance Sheet Reported'!K16/'Interim Balance Sheet US$'!K$7</f>
        <v>465.88518184550645</v>
      </c>
      <c r="L16" s="58">
        <f>'Interim Balance Sheet Reported'!L16/'Interim Balance Sheet US$'!L$7</f>
        <v>490.72035231204779</v>
      </c>
      <c r="M16" s="58">
        <f>'Interim Balance Sheet Reported'!M16/'Interim Balance Sheet US$'!M$7</f>
        <v>500.35796674886649</v>
      </c>
      <c r="N16" s="58">
        <f>'Interim Balance Sheet Reported'!N16/'Interim Balance Sheet US$'!N$7</f>
        <v>499.22480620155039</v>
      </c>
      <c r="O16" s="58">
        <f>'Interim Balance Sheet Reported'!O16/'Interim Balance Sheet US$'!O$7</f>
        <v>503.29310541744394</v>
      </c>
      <c r="P16" s="58">
        <f>'Interim Balance Sheet Reported'!P16/'Interim Balance Sheet US$'!P$7</f>
        <v>528.35450883173223</v>
      </c>
      <c r="Q16" s="58">
        <f>'Interim Balance Sheet Reported'!Q16/'Interim Balance Sheet US$'!Q$7</f>
        <v>525.23323293910232</v>
      </c>
      <c r="R16" s="58">
        <f>'Interim Balance Sheet Reported'!R16/'Interim Balance Sheet US$'!R$7</f>
        <v>3018.2036107573604</v>
      </c>
      <c r="S16" s="58">
        <f>'Interim Balance Sheet Reported'!S16/'Interim Balance Sheet US$'!S$7</f>
        <v>3159.9847269950365</v>
      </c>
      <c r="T16" s="58">
        <f>'Interim Balance Sheet Reported'!T16/'Interim Balance Sheet US$'!T$7</f>
        <v>3184.0976376049789</v>
      </c>
      <c r="U16" s="58">
        <f>'Interim Balance Sheet Reported'!U16/'Interim Balance Sheet US$'!U$7</f>
        <v>3290.9930715935338</v>
      </c>
      <c r="V16" s="58">
        <f>'Interim Balance Sheet Reported'!V16/'Interim Balance Sheet US$'!V$7</f>
        <v>3064.2577997107323</v>
      </c>
      <c r="W16" s="58">
        <f>'Interim Balance Sheet Reported'!W16/'Interim Balance Sheet US$'!W$7</f>
        <v>3198.2911019446083</v>
      </c>
      <c r="X16" s="58">
        <f>'Interim Balance Sheet Reported'!X16/'Interim Balance Sheet US$'!X$7</f>
        <v>3293.2962990766459</v>
      </c>
      <c r="Y16" s="58">
        <f>'Interim Balance Sheet Reported'!Y16/'Interim Balance Sheet US$'!Y$7</f>
        <v>3308.3101869229035</v>
      </c>
      <c r="Z16" s="58">
        <f>'Interim Balance Sheet Reported'!Z16/'Interim Balance Sheet US$'!Z$7</f>
        <v>3503.6612543775868</v>
      </c>
      <c r="AA16" s="58">
        <f>'Interim Balance Sheet Reported'!AA16/'Interim Balance Sheet US$'!AA$7</f>
        <v>3535.8180058083253</v>
      </c>
      <c r="AB16" s="58">
        <f>'Interim Balance Sheet Reported'!AB16/'Interim Balance Sheet US$'!AB$7</f>
        <v>3443.7086092715231</v>
      </c>
    </row>
    <row r="17" spans="1:28" x14ac:dyDescent="0.3">
      <c r="A17" s="85" t="s">
        <v>84</v>
      </c>
      <c r="B17" s="58">
        <f>'Interim Balance Sheet Reported'!B17/'Interim Balance Sheet US$'!B$7</f>
        <v>0</v>
      </c>
      <c r="C17" s="58">
        <f>'Interim Balance Sheet Reported'!C17/'Interim Balance Sheet US$'!C$7</f>
        <v>0</v>
      </c>
      <c r="D17" s="58">
        <f>'Interim Balance Sheet Reported'!D17/'Interim Balance Sheet US$'!D$7</f>
        <v>0</v>
      </c>
      <c r="E17" s="58">
        <f>'Interim Balance Sheet Reported'!E17/'Interim Balance Sheet US$'!E$7</f>
        <v>0</v>
      </c>
      <c r="F17" s="58">
        <f>'Interim Balance Sheet Reported'!F17/'Interim Balance Sheet US$'!F$7</f>
        <v>0</v>
      </c>
      <c r="G17" s="58">
        <f>'Interim Balance Sheet Reported'!G17/'Interim Balance Sheet US$'!G$7</f>
        <v>0</v>
      </c>
      <c r="H17" s="58">
        <f>'Interim Balance Sheet Reported'!H17/'Interim Balance Sheet US$'!H$7</f>
        <v>0</v>
      </c>
      <c r="I17" s="58">
        <f>'Interim Balance Sheet Reported'!I17/'Interim Balance Sheet US$'!I$7</f>
        <v>0</v>
      </c>
      <c r="J17" s="58">
        <f>'Interim Balance Sheet Reported'!J17/'Interim Balance Sheet US$'!J$7</f>
        <v>0</v>
      </c>
      <c r="K17" s="58">
        <f>'Interim Balance Sheet Reported'!K17/'Interim Balance Sheet US$'!K$7</f>
        <v>0</v>
      </c>
      <c r="L17" s="58">
        <f>'Interim Balance Sheet Reported'!L17/'Interim Balance Sheet US$'!L$7</f>
        <v>0</v>
      </c>
      <c r="M17" s="58">
        <f>'Interim Balance Sheet Reported'!M17/'Interim Balance Sheet US$'!M$7</f>
        <v>0</v>
      </c>
      <c r="N17" s="58">
        <f>'Interim Balance Sheet Reported'!N17/'Interim Balance Sheet US$'!N$7</f>
        <v>0</v>
      </c>
      <c r="O17" s="58">
        <f>'Interim Balance Sheet Reported'!O17/'Interim Balance Sheet US$'!O$7</f>
        <v>0</v>
      </c>
      <c r="P17" s="58">
        <f>'Interim Balance Sheet Reported'!P17/'Interim Balance Sheet US$'!P$7</f>
        <v>0</v>
      </c>
      <c r="Q17" s="58">
        <f>'Interim Balance Sheet Reported'!Q17/'Interim Balance Sheet US$'!Q$7</f>
        <v>0</v>
      </c>
      <c r="R17" s="58">
        <f>'Interim Balance Sheet Reported'!R17/'Interim Balance Sheet US$'!R$7</f>
        <v>0</v>
      </c>
      <c r="S17" s="58">
        <f>'Interim Balance Sheet Reported'!S17/'Interim Balance Sheet US$'!S$7</f>
        <v>0</v>
      </c>
      <c r="T17" s="58">
        <f>'Interim Balance Sheet Reported'!T17/'Interim Balance Sheet US$'!T$7</f>
        <v>0</v>
      </c>
      <c r="U17" s="58">
        <f>'Interim Balance Sheet Reported'!U17/'Interim Balance Sheet US$'!U$7</f>
        <v>0</v>
      </c>
      <c r="V17" s="58">
        <f>'Interim Balance Sheet Reported'!V17/'Interim Balance Sheet US$'!V$7</f>
        <v>0</v>
      </c>
      <c r="W17" s="58">
        <f>'Interim Balance Sheet Reported'!W17/'Interim Balance Sheet US$'!W$7</f>
        <v>0</v>
      </c>
      <c r="X17" s="58">
        <f>'Interim Balance Sheet Reported'!X17/'Interim Balance Sheet US$'!X$7</f>
        <v>0</v>
      </c>
      <c r="Y17" s="58">
        <f>'Interim Balance Sheet Reported'!Y17/'Interim Balance Sheet US$'!Y$7</f>
        <v>0</v>
      </c>
      <c r="Z17" s="58">
        <f>'Interim Balance Sheet Reported'!Z17/'Interim Balance Sheet US$'!Z$7</f>
        <v>0</v>
      </c>
      <c r="AA17" s="58">
        <f>'Interim Balance Sheet Reported'!AA17/'Interim Balance Sheet US$'!AA$7</f>
        <v>0</v>
      </c>
      <c r="AB17" s="58">
        <f>'Interim Balance Sheet Reported'!AB17/'Interim Balance Sheet US$'!AB$7</f>
        <v>0</v>
      </c>
    </row>
    <row r="18" spans="1:28" x14ac:dyDescent="0.3">
      <c r="A18" s="85" t="s">
        <v>85</v>
      </c>
      <c r="B18" s="58">
        <f>'Interim Balance Sheet Reported'!B18/'Interim Balance Sheet US$'!B$7</f>
        <v>0</v>
      </c>
      <c r="C18" s="58">
        <f>'Interim Balance Sheet Reported'!C18/'Interim Balance Sheet US$'!C$7</f>
        <v>0</v>
      </c>
      <c r="D18" s="58">
        <f>'Interim Balance Sheet Reported'!D18/'Interim Balance Sheet US$'!D$7</f>
        <v>0</v>
      </c>
      <c r="E18" s="58">
        <f>'Interim Balance Sheet Reported'!E18/'Interim Balance Sheet US$'!E$7</f>
        <v>0</v>
      </c>
      <c r="F18" s="58">
        <f>'Interim Balance Sheet Reported'!F18/'Interim Balance Sheet US$'!F$7</f>
        <v>0</v>
      </c>
      <c r="G18" s="58">
        <f>'Interim Balance Sheet Reported'!G18/'Interim Balance Sheet US$'!G$7</f>
        <v>0</v>
      </c>
      <c r="H18" s="58">
        <f>'Interim Balance Sheet Reported'!H18/'Interim Balance Sheet US$'!H$7</f>
        <v>0</v>
      </c>
      <c r="I18" s="58">
        <f>'Interim Balance Sheet Reported'!I18/'Interim Balance Sheet US$'!I$7</f>
        <v>0</v>
      </c>
      <c r="J18" s="58">
        <f>'Interim Balance Sheet Reported'!J18/'Interim Balance Sheet US$'!J$7</f>
        <v>0</v>
      </c>
      <c r="K18" s="58">
        <f>'Interim Balance Sheet Reported'!K18/'Interim Balance Sheet US$'!K$7</f>
        <v>0</v>
      </c>
      <c r="L18" s="58">
        <f>'Interim Balance Sheet Reported'!L18/'Interim Balance Sheet US$'!L$7</f>
        <v>0</v>
      </c>
      <c r="M18" s="58">
        <f>'Interim Balance Sheet Reported'!M18/'Interim Balance Sheet US$'!M$7</f>
        <v>0</v>
      </c>
      <c r="N18" s="58">
        <f>'Interim Balance Sheet Reported'!N18/'Interim Balance Sheet US$'!N$7</f>
        <v>0</v>
      </c>
      <c r="O18" s="58">
        <f>'Interim Balance Sheet Reported'!O18/'Interim Balance Sheet US$'!O$7</f>
        <v>0</v>
      </c>
      <c r="P18" s="58">
        <f>'Interim Balance Sheet Reported'!P18/'Interim Balance Sheet US$'!P$7</f>
        <v>0</v>
      </c>
      <c r="Q18" s="58">
        <f>'Interim Balance Sheet Reported'!Q18/'Interim Balance Sheet US$'!Q$7</f>
        <v>0</v>
      </c>
      <c r="R18" s="58">
        <f>'Interim Balance Sheet Reported'!R18/'Interim Balance Sheet US$'!R$7</f>
        <v>0</v>
      </c>
      <c r="S18" s="58">
        <f>'Interim Balance Sheet Reported'!S18/'Interim Balance Sheet US$'!S$7</f>
        <v>0</v>
      </c>
      <c r="T18" s="58">
        <f>'Interim Balance Sheet Reported'!T18/'Interim Balance Sheet US$'!T$7</f>
        <v>0</v>
      </c>
      <c r="U18" s="58">
        <f>'Interim Balance Sheet Reported'!U18/'Interim Balance Sheet US$'!U$7</f>
        <v>0</v>
      </c>
      <c r="V18" s="58">
        <f>'Interim Balance Sheet Reported'!V18/'Interim Balance Sheet US$'!V$7</f>
        <v>0</v>
      </c>
      <c r="W18" s="58">
        <f>'Interim Balance Sheet Reported'!W18/'Interim Balance Sheet US$'!W$7</f>
        <v>0</v>
      </c>
      <c r="X18" s="58">
        <f>'Interim Balance Sheet Reported'!X18/'Interim Balance Sheet US$'!X$7</f>
        <v>0</v>
      </c>
      <c r="Y18" s="58">
        <f>'Interim Balance Sheet Reported'!Y18/'Interim Balance Sheet US$'!Y$7</f>
        <v>0</v>
      </c>
      <c r="Z18" s="58">
        <f>'Interim Balance Sheet Reported'!Z18/'Interim Balance Sheet US$'!Z$7</f>
        <v>0</v>
      </c>
      <c r="AA18" s="58">
        <f>'Interim Balance Sheet Reported'!AA18/'Interim Balance Sheet US$'!AA$7</f>
        <v>0</v>
      </c>
      <c r="AB18" s="58">
        <f>'Interim Balance Sheet Reported'!AB18/'Interim Balance Sheet US$'!AB$7</f>
        <v>0</v>
      </c>
    </row>
    <row r="19" spans="1:28" x14ac:dyDescent="0.3">
      <c r="A19" s="85" t="s">
        <v>86</v>
      </c>
      <c r="B19" s="58">
        <f>'Interim Balance Sheet Reported'!B19/'Interim Balance Sheet US$'!B$7</f>
        <v>0</v>
      </c>
      <c r="C19" s="58">
        <f>'Interim Balance Sheet Reported'!C19/'Interim Balance Sheet US$'!C$7</f>
        <v>0</v>
      </c>
      <c r="D19" s="58">
        <f>'Interim Balance Sheet Reported'!D19/'Interim Balance Sheet US$'!D$7</f>
        <v>0</v>
      </c>
      <c r="E19" s="58">
        <f>'Interim Balance Sheet Reported'!E19/'Interim Balance Sheet US$'!E$7</f>
        <v>0</v>
      </c>
      <c r="F19" s="58">
        <f>'Interim Balance Sheet Reported'!F19/'Interim Balance Sheet US$'!F$7</f>
        <v>0</v>
      </c>
      <c r="G19" s="58">
        <f>'Interim Balance Sheet Reported'!G19/'Interim Balance Sheet US$'!G$7</f>
        <v>0</v>
      </c>
      <c r="H19" s="58">
        <f>'Interim Balance Sheet Reported'!H19/'Interim Balance Sheet US$'!H$7</f>
        <v>0</v>
      </c>
      <c r="I19" s="58">
        <f>'Interim Balance Sheet Reported'!I19/'Interim Balance Sheet US$'!I$7</f>
        <v>0</v>
      </c>
      <c r="J19" s="58">
        <f>'Interim Balance Sheet Reported'!J19/'Interim Balance Sheet US$'!J$7</f>
        <v>0</v>
      </c>
      <c r="K19" s="58">
        <f>'Interim Balance Sheet Reported'!K19/'Interim Balance Sheet US$'!K$7</f>
        <v>0</v>
      </c>
      <c r="L19" s="58">
        <f>'Interim Balance Sheet Reported'!L19/'Interim Balance Sheet US$'!L$7</f>
        <v>479.7106008178672</v>
      </c>
      <c r="M19" s="58">
        <f>'Interim Balance Sheet Reported'!M19/'Interim Balance Sheet US$'!M$7</f>
        <v>375.46734547768676</v>
      </c>
      <c r="N19" s="58">
        <f>'Interim Balance Sheet Reported'!N19/'Interim Balance Sheet US$'!N$7</f>
        <v>349.61240310077517</v>
      </c>
      <c r="O19" s="58">
        <f>'Interim Balance Sheet Reported'!O19/'Interim Balance Sheet US$'!O$7</f>
        <v>144.66821487036967</v>
      </c>
      <c r="P19" s="58">
        <f>'Interim Balance Sheet Reported'!P19/'Interim Balance Sheet US$'!P$7</f>
        <v>24.790827393864273</v>
      </c>
      <c r="Q19" s="58">
        <f>'Interim Balance Sheet Reported'!Q19/'Interim Balance Sheet US$'!Q$7</f>
        <v>230.66186733269669</v>
      </c>
      <c r="R19" s="58">
        <f>'Interim Balance Sheet Reported'!R19/'Interim Balance Sheet US$'!R$7</f>
        <v>387.2949284590606</v>
      </c>
      <c r="S19" s="58">
        <f>'Interim Balance Sheet Reported'!S19/'Interim Balance Sheet US$'!S$7</f>
        <v>395.57082856051932</v>
      </c>
      <c r="T19" s="58">
        <f>'Interim Balance Sheet Reported'!T19/'Interim Balance Sheet US$'!T$7</f>
        <v>243.94296417134919</v>
      </c>
      <c r="U19" s="58">
        <f>'Interim Balance Sheet Reported'!U19/'Interim Balance Sheet US$'!U$7</f>
        <v>103.15627405696691</v>
      </c>
      <c r="V19" s="58">
        <f>'Interim Balance Sheet Reported'!V19/'Interim Balance Sheet US$'!V$7</f>
        <v>26.208400043757997</v>
      </c>
      <c r="W19" s="58">
        <f>'Interim Balance Sheet Reported'!W19/'Interim Balance Sheet US$'!W$7</f>
        <v>11.0489098408957</v>
      </c>
      <c r="X19" s="58">
        <f>'Interim Balance Sheet Reported'!X19/'Interim Balance Sheet US$'!X$7</f>
        <v>17.265971023196457</v>
      </c>
      <c r="Y19" s="58">
        <f>'Interim Balance Sheet Reported'!Y19/'Interim Balance Sheet US$'!Y$7</f>
        <v>18.767359807822235</v>
      </c>
      <c r="Z19" s="58">
        <f>'Interim Balance Sheet Reported'!Z19/'Interim Balance Sheet US$'!Z$7</f>
        <v>23.081821076090417</v>
      </c>
      <c r="AA19" s="58">
        <f>'Interim Balance Sheet Reported'!AA19/'Interim Balance Sheet US$'!AA$7</f>
        <v>27.428202646014842</v>
      </c>
      <c r="AB19" s="58">
        <f>'Interim Balance Sheet Reported'!AB19/'Interim Balance Sheet US$'!AB$7</f>
        <v>29.170608640807316</v>
      </c>
    </row>
    <row r="20" spans="1:28" x14ac:dyDescent="0.3">
      <c r="A20" s="85" t="s">
        <v>87</v>
      </c>
      <c r="B20" s="58">
        <f>'Interim Balance Sheet Reported'!B20/'Interim Balance Sheet US$'!B$7</f>
        <v>0</v>
      </c>
      <c r="C20" s="58">
        <f>'Interim Balance Sheet Reported'!C20/'Interim Balance Sheet US$'!C$7</f>
        <v>0</v>
      </c>
      <c r="D20" s="58">
        <f>'Interim Balance Sheet Reported'!D20/'Interim Balance Sheet US$'!D$7</f>
        <v>0</v>
      </c>
      <c r="E20" s="58">
        <f>'Interim Balance Sheet Reported'!E20/'Interim Balance Sheet US$'!E$7</f>
        <v>0</v>
      </c>
      <c r="F20" s="58">
        <f>'Interim Balance Sheet Reported'!F20/'Interim Balance Sheet US$'!F$7</f>
        <v>0</v>
      </c>
      <c r="G20" s="58">
        <f>'Interim Balance Sheet Reported'!G20/'Interim Balance Sheet US$'!G$7</f>
        <v>0</v>
      </c>
      <c r="H20" s="58">
        <f>'Interim Balance Sheet Reported'!H20/'Interim Balance Sheet US$'!H$7</f>
        <v>0</v>
      </c>
      <c r="I20" s="58">
        <f>'Interim Balance Sheet Reported'!I20/'Interim Balance Sheet US$'!I$7</f>
        <v>0</v>
      </c>
      <c r="J20" s="58">
        <f>'Interim Balance Sheet Reported'!J20/'Interim Balance Sheet US$'!J$7</f>
        <v>0</v>
      </c>
      <c r="K20" s="58">
        <f>'Interim Balance Sheet Reported'!K20/'Interim Balance Sheet US$'!K$7</f>
        <v>0</v>
      </c>
      <c r="L20" s="58">
        <f>'Interim Balance Sheet Reported'!L20/'Interim Balance Sheet US$'!L$7</f>
        <v>0</v>
      </c>
      <c r="M20" s="58">
        <f>'Interim Balance Sheet Reported'!M20/'Interim Balance Sheet US$'!M$7</f>
        <v>0</v>
      </c>
      <c r="N20" s="58">
        <f>'Interim Balance Sheet Reported'!N20/'Interim Balance Sheet US$'!N$7</f>
        <v>0</v>
      </c>
      <c r="O20" s="58">
        <f>'Interim Balance Sheet Reported'!O20/'Interim Balance Sheet US$'!O$7</f>
        <v>0</v>
      </c>
      <c r="P20" s="58">
        <f>'Interim Balance Sheet Reported'!P20/'Interim Balance Sheet US$'!P$7</f>
        <v>0</v>
      </c>
      <c r="Q20" s="58">
        <f>'Interim Balance Sheet Reported'!Q20/'Interim Balance Sheet US$'!Q$7</f>
        <v>0</v>
      </c>
      <c r="R20" s="58">
        <f>'Interim Balance Sheet Reported'!R20/'Interim Balance Sheet US$'!R$7</f>
        <v>0</v>
      </c>
      <c r="S20" s="58">
        <f>'Interim Balance Sheet Reported'!S20/'Interim Balance Sheet US$'!S$7</f>
        <v>0</v>
      </c>
      <c r="T20" s="58">
        <f>'Interim Balance Sheet Reported'!T20/'Interim Balance Sheet US$'!T$7</f>
        <v>0</v>
      </c>
      <c r="U20" s="58">
        <f>'Interim Balance Sheet Reported'!U20/'Interim Balance Sheet US$'!U$7</f>
        <v>0</v>
      </c>
      <c r="V20" s="58">
        <f>'Interim Balance Sheet Reported'!V20/'Interim Balance Sheet US$'!V$7</f>
        <v>0</v>
      </c>
      <c r="W20" s="58">
        <f>'Interim Balance Sheet Reported'!W20/'Interim Balance Sheet US$'!W$7</f>
        <v>0</v>
      </c>
      <c r="X20" s="58">
        <f>'Interim Balance Sheet Reported'!X20/'Interim Balance Sheet US$'!X$7</f>
        <v>0</v>
      </c>
      <c r="Y20" s="58">
        <f>'Interim Balance Sheet Reported'!Y20/'Interim Balance Sheet US$'!Y$7</f>
        <v>0</v>
      </c>
      <c r="Z20" s="58">
        <f>'Interim Balance Sheet Reported'!Z20/'Interim Balance Sheet US$'!Z$7</f>
        <v>0</v>
      </c>
      <c r="AA20" s="58">
        <f>'Interim Balance Sheet Reported'!AA20/'Interim Balance Sheet US$'!AA$7</f>
        <v>0</v>
      </c>
      <c r="AB20" s="58">
        <f>'Interim Balance Sheet Reported'!AB20/'Interim Balance Sheet US$'!AB$7</f>
        <v>0</v>
      </c>
    </row>
    <row r="21" spans="1:28" x14ac:dyDescent="0.3">
      <c r="A21" s="85" t="s">
        <v>88</v>
      </c>
      <c r="B21" s="58">
        <f>'Interim Balance Sheet Reported'!B21/'Interim Balance Sheet US$'!B$7</f>
        <v>0</v>
      </c>
      <c r="C21" s="58">
        <f>'Interim Balance Sheet Reported'!C21/'Interim Balance Sheet US$'!C$7</f>
        <v>503.19037234472177</v>
      </c>
      <c r="D21" s="58">
        <f>'Interim Balance Sheet Reported'!D21/'Interim Balance Sheet US$'!D$7</f>
        <v>405.31462267671861</v>
      </c>
      <c r="E21" s="58">
        <f>'Interim Balance Sheet Reported'!E21/'Interim Balance Sheet US$'!E$7</f>
        <v>614.54964999999993</v>
      </c>
      <c r="F21" s="58">
        <f>'Interim Balance Sheet Reported'!F21/'Interim Balance Sheet US$'!F$7</f>
        <v>307.26472631822742</v>
      </c>
      <c r="G21" s="58">
        <f>'Interim Balance Sheet Reported'!G21/'Interim Balance Sheet US$'!G$7</f>
        <v>310.95297029702971</v>
      </c>
      <c r="H21" s="58">
        <f>'Interim Balance Sheet Reported'!H21/'Interim Balance Sheet US$'!H$7</f>
        <v>424.31629465986134</v>
      </c>
      <c r="I21" s="58">
        <f>'Interim Balance Sheet Reported'!I21/'Interim Balance Sheet US$'!I$7</f>
        <v>858.84543761638736</v>
      </c>
      <c r="J21" s="58">
        <f>'Interim Balance Sheet Reported'!J21/'Interim Balance Sheet US$'!J$7</f>
        <v>756.11953746808842</v>
      </c>
      <c r="K21" s="58">
        <f>'Interim Balance Sheet Reported'!K21/'Interim Balance Sheet US$'!K$7</f>
        <v>803.27622482717163</v>
      </c>
      <c r="L21" s="58">
        <f>'Interim Balance Sheet Reported'!L21/'Interim Balance Sheet US$'!L$7</f>
        <v>927.17835797420571</v>
      </c>
      <c r="M21" s="58">
        <f>'Interim Balance Sheet Reported'!M21/'Interim Balance Sheet US$'!M$7</f>
        <v>1259.2474743457165</v>
      </c>
      <c r="N21" s="58">
        <f>'Interim Balance Sheet Reported'!N21/'Interim Balance Sheet US$'!N$7</f>
        <v>1217.8294573643411</v>
      </c>
      <c r="O21" s="58">
        <f>'Interim Balance Sheet Reported'!O21/'Interim Balance Sheet US$'!O$7</f>
        <v>1814.4439791373206</v>
      </c>
      <c r="P21" s="58">
        <f>'Interim Balance Sheet Reported'!P21/'Interim Balance Sheet US$'!P$7</f>
        <v>1737.6820576386738</v>
      </c>
      <c r="Q21" s="58">
        <f>'Interim Balance Sheet Reported'!Q21/'Interim Balance Sheet US$'!Q$7</f>
        <v>1446.4115184015279</v>
      </c>
      <c r="R21" s="58">
        <f>'Interim Balance Sheet Reported'!R21/'Interim Balance Sheet US$'!R$7</f>
        <v>1284.7404299947561</v>
      </c>
      <c r="S21" s="58">
        <f>'Interim Balance Sheet Reported'!S21/'Interim Balance Sheet US$'!S$7</f>
        <v>1228.7132493318061</v>
      </c>
      <c r="T21" s="58">
        <f>'Interim Balance Sheet Reported'!T21/'Interim Balance Sheet US$'!T$7</f>
        <v>1329.9800616276964</v>
      </c>
      <c r="U21" s="58">
        <f>'Interim Balance Sheet Reported'!U21/'Interim Balance Sheet US$'!U$7</f>
        <v>1588.9145496535798</v>
      </c>
      <c r="V21" s="58">
        <f>'Interim Balance Sheet Reported'!V21/'Interim Balance Sheet US$'!V$7</f>
        <v>2204.3389442209427</v>
      </c>
      <c r="W21" s="58">
        <f>'Interim Balance Sheet Reported'!W21/'Interim Balance Sheet US$'!W$7</f>
        <v>1552.7401296405421</v>
      </c>
      <c r="X21" s="58">
        <f>'Interim Balance Sheet Reported'!X21/'Interim Balance Sheet US$'!X$7</f>
        <v>1907.5144508670519</v>
      </c>
      <c r="Y21" s="58">
        <f>'Interim Balance Sheet Reported'!Y21/'Interim Balance Sheet US$'!Y$7</f>
        <v>2131.972074168606</v>
      </c>
      <c r="Z21" s="58">
        <f>'Interim Balance Sheet Reported'!Z21/'Interim Balance Sheet US$'!Z$7</f>
        <v>2283.5084368035659</v>
      </c>
      <c r="AA21" s="58">
        <f>'Interim Balance Sheet Reported'!AA21/'Interim Balance Sheet US$'!AA$7</f>
        <v>2456.4375605033883</v>
      </c>
      <c r="AB21" s="58">
        <f>'Interim Balance Sheet Reported'!AB21/'Interim Balance Sheet US$'!AB$7</f>
        <v>2527.5938189845474</v>
      </c>
    </row>
    <row r="22" spans="1:28" x14ac:dyDescent="0.3">
      <c r="A22" s="85" t="s">
        <v>89</v>
      </c>
      <c r="B22" s="60">
        <f>'Interim Balance Sheet Reported'!B22/'Interim Balance Sheet US$'!B$7</f>
        <v>0</v>
      </c>
      <c r="C22" s="60">
        <f>'Interim Balance Sheet Reported'!C22/'Interim Balance Sheet US$'!C$7</f>
        <v>0</v>
      </c>
      <c r="D22" s="60">
        <f>'Interim Balance Sheet Reported'!D22/'Interim Balance Sheet US$'!D$7</f>
        <v>0</v>
      </c>
      <c r="E22" s="60">
        <f>'Interim Balance Sheet Reported'!E22/'Interim Balance Sheet US$'!E$7</f>
        <v>0</v>
      </c>
      <c r="F22" s="60">
        <f>'Interim Balance Sheet Reported'!F22/'Interim Balance Sheet US$'!F$7</f>
        <v>0</v>
      </c>
      <c r="G22" s="60">
        <f>'Interim Balance Sheet Reported'!G22/'Interim Balance Sheet US$'!G$7</f>
        <v>0</v>
      </c>
      <c r="H22" s="60">
        <f>'Interim Balance Sheet Reported'!H22/'Interim Balance Sheet US$'!H$7</f>
        <v>0</v>
      </c>
      <c r="I22" s="60">
        <f>'Interim Balance Sheet Reported'!I22/'Interim Balance Sheet US$'!I$7</f>
        <v>0</v>
      </c>
      <c r="J22" s="60">
        <f>'Interim Balance Sheet Reported'!J22/'Interim Balance Sheet US$'!J$7</f>
        <v>0</v>
      </c>
      <c r="K22" s="60">
        <f>'Interim Balance Sheet Reported'!K22/'Interim Balance Sheet US$'!K$7</f>
        <v>0</v>
      </c>
      <c r="L22" s="60">
        <f>'Interim Balance Sheet Reported'!L22/'Interim Balance Sheet US$'!L$7</f>
        <v>0</v>
      </c>
      <c r="M22" s="60">
        <f>'Interim Balance Sheet Reported'!M22/'Interim Balance Sheet US$'!M$7</f>
        <v>0</v>
      </c>
      <c r="N22" s="60">
        <f>'Interim Balance Sheet Reported'!N22/'Interim Balance Sheet US$'!N$7</f>
        <v>0</v>
      </c>
      <c r="O22" s="60">
        <f>'Interim Balance Sheet Reported'!O22/'Interim Balance Sheet US$'!O$7</f>
        <v>0</v>
      </c>
      <c r="P22" s="60">
        <f>'Interim Balance Sheet Reported'!P22/'Interim Balance Sheet US$'!P$7</f>
        <v>0</v>
      </c>
      <c r="Q22" s="60">
        <f>'Interim Balance Sheet Reported'!Q22/'Interim Balance Sheet US$'!Q$7</f>
        <v>0</v>
      </c>
      <c r="R22" s="60">
        <f>'Interim Balance Sheet Reported'!R22/'Interim Balance Sheet US$'!R$7</f>
        <v>0</v>
      </c>
      <c r="S22" s="60">
        <f>'Interim Balance Sheet Reported'!S22/'Interim Balance Sheet US$'!S$7</f>
        <v>0</v>
      </c>
      <c r="T22" s="60">
        <f>'Interim Balance Sheet Reported'!T22/'Interim Balance Sheet US$'!T$7</f>
        <v>0</v>
      </c>
      <c r="U22" s="60">
        <f>'Interim Balance Sheet Reported'!U22/'Interim Balance Sheet US$'!U$7</f>
        <v>0</v>
      </c>
      <c r="V22" s="60">
        <f>'Interim Balance Sheet Reported'!V22/'Interim Balance Sheet US$'!V$7</f>
        <v>0</v>
      </c>
      <c r="W22" s="60">
        <f>'Interim Balance Sheet Reported'!W22/'Interim Balance Sheet US$'!W$7</f>
        <v>0</v>
      </c>
      <c r="X22" s="60">
        <f>'Interim Balance Sheet Reported'!X22/'Interim Balance Sheet US$'!X$7</f>
        <v>0</v>
      </c>
      <c r="Y22" s="60">
        <f>'Interim Balance Sheet Reported'!Y22/'Interim Balance Sheet US$'!Y$7</f>
        <v>0</v>
      </c>
      <c r="Z22" s="60">
        <f>'Interim Balance Sheet Reported'!Z22/'Interim Balance Sheet US$'!Z$7</f>
        <v>0</v>
      </c>
      <c r="AA22" s="60">
        <f>'Interim Balance Sheet Reported'!AA22/'Interim Balance Sheet US$'!AA$7</f>
        <v>0</v>
      </c>
      <c r="AB22" s="60">
        <f>'Interim Balance Sheet Reported'!AB22/'Interim Balance Sheet US$'!AB$7</f>
        <v>0</v>
      </c>
    </row>
    <row r="23" spans="1:28" x14ac:dyDescent="0.3">
      <c r="A23" s="14" t="s">
        <v>90</v>
      </c>
      <c r="B23" s="22">
        <f>SUM(B14:B22)</f>
        <v>937.54903499136981</v>
      </c>
      <c r="C23" s="22">
        <f>SUM(C14:C22)</f>
        <v>1457.0713189564656</v>
      </c>
      <c r="D23" s="22">
        <f t="shared" ref="D23:I23" si="1">SUM(D14:D22)</f>
        <v>1284.6159587967454</v>
      </c>
      <c r="E23" s="22">
        <f t="shared" si="1"/>
        <v>1424.0797999999998</v>
      </c>
      <c r="F23" s="22">
        <f t="shared" si="1"/>
        <v>1153.4007565814868</v>
      </c>
      <c r="G23" s="22">
        <f t="shared" si="1"/>
        <v>1140.1608910891089</v>
      </c>
      <c r="H23" s="22">
        <f t="shared" si="1"/>
        <v>1236.3830273482135</v>
      </c>
      <c r="I23" s="22">
        <f t="shared" si="1"/>
        <v>1673.7430167597765</v>
      </c>
      <c r="J23" s="22">
        <f>SUM(J14:J22)</f>
        <v>1575.3116083496022</v>
      </c>
      <c r="K23" s="22">
        <f>SUM(K14:K22)</f>
        <v>1611.8124436429216</v>
      </c>
      <c r="L23" s="22">
        <f>SUM(L14:L22)</f>
        <v>2251.4941805599246</v>
      </c>
      <c r="M23" s="22">
        <f>SUM(M14:M22)</f>
        <v>2504.9717604009229</v>
      </c>
      <c r="N23" s="22">
        <f t="shared" ref="N23" si="2">SUM(N14:N22)</f>
        <v>2434.1085271317829</v>
      </c>
      <c r="O23" s="22">
        <f>SUM(O14:O22)</f>
        <v>2780.6753721399473</v>
      </c>
      <c r="P23" s="22">
        <f>SUM(P14:P22)</f>
        <v>2613.1081499845059</v>
      </c>
      <c r="Q23" s="22">
        <f>SUM(Q14:Q22)</f>
        <v>2496.8779842797326</v>
      </c>
      <c r="R23" s="22">
        <f t="shared" ref="R23:S23" si="3">SUM(R14:R22)</f>
        <v>5167.4282717806582</v>
      </c>
      <c r="S23" s="22">
        <f t="shared" si="3"/>
        <v>5324.1695303550978</v>
      </c>
      <c r="T23" s="22">
        <f t="shared" ref="T23:U23" si="4">SUM(T14:T22)</f>
        <v>5456.6189354117578</v>
      </c>
      <c r="U23" s="22">
        <f t="shared" si="4"/>
        <v>5703.6181678214016</v>
      </c>
      <c r="V23" s="22">
        <f t="shared" ref="V23:Y23" si="5">SUM(V14:V22)</f>
        <v>5798.4314258973773</v>
      </c>
      <c r="W23" s="22">
        <f t="shared" si="5"/>
        <v>5332.2038892162645</v>
      </c>
      <c r="X23" s="22">
        <f t="shared" si="5"/>
        <v>5739.8093236243521</v>
      </c>
      <c r="Y23" s="22">
        <f t="shared" si="5"/>
        <v>6084.378049695968</v>
      </c>
      <c r="Z23" s="22">
        <f t="shared" ref="Z23:AA23" si="6">SUM(Z14:Z22)</f>
        <v>6560.0127347978359</v>
      </c>
      <c r="AA23" s="22">
        <f t="shared" si="6"/>
        <v>6756.2116811874803</v>
      </c>
      <c r="AB23" s="22">
        <f t="shared" ref="AB23" si="7">SUM(AB14:AB22)</f>
        <v>6863.7653736991488</v>
      </c>
    </row>
    <row r="24" spans="1:28" x14ac:dyDescent="0.3">
      <c r="A24" s="14" t="s">
        <v>253</v>
      </c>
      <c r="B24" s="23">
        <f t="shared" ref="B24:I24" si="8">B13+B23</f>
        <v>5833.9871332182647</v>
      </c>
      <c r="C24" s="23">
        <f t="shared" si="8"/>
        <v>6526.9364348598665</v>
      </c>
      <c r="D24" s="23">
        <f t="shared" si="8"/>
        <v>6246.9209524520411</v>
      </c>
      <c r="E24" s="23">
        <f t="shared" si="8"/>
        <v>6500.7942999999987</v>
      </c>
      <c r="F24" s="23">
        <f t="shared" si="8"/>
        <v>7118.8141743225497</v>
      </c>
      <c r="G24" s="23">
        <f t="shared" si="8"/>
        <v>7800.897277227723</v>
      </c>
      <c r="H24" s="23">
        <f t="shared" si="8"/>
        <v>7713.8721718595261</v>
      </c>
      <c r="I24" s="23">
        <f t="shared" si="8"/>
        <v>8020.1117318435754</v>
      </c>
      <c r="J24" s="23">
        <f>J13+J23</f>
        <v>8216.6992040846981</v>
      </c>
      <c r="K24" s="23">
        <f>K13+K23</f>
        <v>8474.6017433122943</v>
      </c>
      <c r="L24" s="23">
        <f>L13+L23</f>
        <v>9385.8131487889259</v>
      </c>
      <c r="M24" s="23">
        <f>M13+M23</f>
        <v>9864.7681170949018</v>
      </c>
      <c r="N24" s="23">
        <f t="shared" ref="N24" si="9">N13+N23</f>
        <v>10071.317829457364</v>
      </c>
      <c r="O24" s="23">
        <f>O13+O23</f>
        <v>10327.026306772757</v>
      </c>
      <c r="P24" s="23">
        <f>P13+P23</f>
        <v>10213.046172916022</v>
      </c>
      <c r="Q24" s="23">
        <f>Q13+Q23</f>
        <v>11446.411518401528</v>
      </c>
      <c r="R24" s="23">
        <f t="shared" ref="R24:S24" si="10">R13+R23</f>
        <v>14815.341973181512</v>
      </c>
      <c r="S24" s="23">
        <f t="shared" si="10"/>
        <v>15309.660175639558</v>
      </c>
      <c r="T24" s="23">
        <f t="shared" ref="T24:U24" si="11">T13+T23</f>
        <v>15166.757295631685</v>
      </c>
      <c r="U24" s="23">
        <f t="shared" si="11"/>
        <v>15583.525789068515</v>
      </c>
      <c r="V24" s="23">
        <f t="shared" ref="V24:Y24" si="12">V13+V23</f>
        <v>14916.121300579889</v>
      </c>
      <c r="W24" s="23">
        <f t="shared" si="12"/>
        <v>14443.134944018857</v>
      </c>
      <c r="X24" s="23">
        <f t="shared" si="12"/>
        <v>14875.760078072217</v>
      </c>
      <c r="Y24" s="23">
        <f t="shared" si="12"/>
        <v>15195.555889197507</v>
      </c>
      <c r="Z24" s="23">
        <f t="shared" ref="Z24:AA24" si="13">Z13+Z23</f>
        <v>16189.907672715697</v>
      </c>
      <c r="AA24" s="23">
        <f t="shared" si="13"/>
        <v>16418.199419167475</v>
      </c>
      <c r="AB24" s="23">
        <f t="shared" ref="AB24" si="14">AB13+AB23</f>
        <v>16115.578681803849</v>
      </c>
    </row>
    <row r="25" spans="1:28" x14ac:dyDescent="0.3">
      <c r="A25" s="85" t="s">
        <v>66</v>
      </c>
      <c r="B25" s="58">
        <f>'Interim Balance Sheet Reported'!B25/'Interim Balance Sheet US$'!B$7</f>
        <v>812.01945708457561</v>
      </c>
      <c r="C25" s="58">
        <f>'Interim Balance Sheet Reported'!C25/'Interim Balance Sheet US$'!C$7</f>
        <v>869.88126968742426</v>
      </c>
      <c r="D25" s="58">
        <f>'Interim Balance Sheet Reported'!D25/'Interim Balance Sheet US$'!D$7</f>
        <v>679.25654997387471</v>
      </c>
      <c r="E25" s="58">
        <f>'Interim Balance Sheet Reported'!E25/'Interim Balance Sheet US$'!E$7</f>
        <v>413.06979999999993</v>
      </c>
      <c r="F25" s="58">
        <f>'Interim Balance Sheet Reported'!F25/'Interim Balance Sheet US$'!F$7</f>
        <v>700.99590828379519</v>
      </c>
      <c r="G25" s="58">
        <f>'Interim Balance Sheet Reported'!G25/'Interim Balance Sheet US$'!G$7</f>
        <v>682.24009900990097</v>
      </c>
      <c r="H25" s="58">
        <f>'Interim Balance Sheet Reported'!H25/'Interim Balance Sheet US$'!H$7</f>
        <v>774.73908737716158</v>
      </c>
      <c r="I25" s="58">
        <f>'Interim Balance Sheet Reported'!I25/'Interim Balance Sheet US$'!I$7</f>
        <v>586.21973929236503</v>
      </c>
      <c r="J25" s="58">
        <f>'Interim Balance Sheet Reported'!J25/'Interim Balance Sheet US$'!J$7</f>
        <v>953.59663613155135</v>
      </c>
      <c r="K25" s="58">
        <f>'Interim Balance Sheet Reported'!K25/'Interim Balance Sheet US$'!K$7</f>
        <v>976.10459873760146</v>
      </c>
      <c r="L25" s="58">
        <f>'Interim Balance Sheet Reported'!L25/'Interim Balance Sheet US$'!L$7</f>
        <v>901.22680088078005</v>
      </c>
      <c r="M25" s="58">
        <f>'Interim Balance Sheet Reported'!M25/'Interim Balance Sheet US$'!M$7</f>
        <v>510.6992283827858</v>
      </c>
      <c r="N25" s="58">
        <f>'Interim Balance Sheet Reported'!N25/'Interim Balance Sheet US$'!N$7</f>
        <v>927.90697674418607</v>
      </c>
      <c r="O25" s="58">
        <f>'Interim Balance Sheet Reported'!O25/'Interim Balance Sheet US$'!O$7</f>
        <v>651.76837857387591</v>
      </c>
      <c r="P25" s="58">
        <f>'Interim Balance Sheet Reported'!P25/'Interim Balance Sheet US$'!P$7</f>
        <v>660.05577936163627</v>
      </c>
      <c r="Q25" s="58">
        <f>'Interim Balance Sheet Reported'!Q25/'Interim Balance Sheet US$'!Q$7</f>
        <v>462.79291853375452</v>
      </c>
      <c r="R25" s="58">
        <f>'Interim Balance Sheet Reported'!R25/'Interim Balance Sheet US$'!R$7</f>
        <v>1185.1074986890403</v>
      </c>
      <c r="S25" s="58">
        <f>'Interim Balance Sheet Reported'!S25/'Interim Balance Sheet US$'!S$7</f>
        <v>1214.9675448644523</v>
      </c>
      <c r="T25" s="58">
        <f>'Interim Balance Sheet Reported'!T25/'Interim Balance Sheet US$'!T$7</f>
        <v>1492.3569572835479</v>
      </c>
      <c r="U25" s="58">
        <f>'Interim Balance Sheet Reported'!U25/'Interim Balance Sheet US$'!U$7</f>
        <v>1608.9299461123942</v>
      </c>
      <c r="V25" s="58">
        <f>'Interim Balance Sheet Reported'!V25/'Interim Balance Sheet US$'!V$7</f>
        <v>1833.1713327904242</v>
      </c>
      <c r="W25" s="58">
        <f>'Interim Balance Sheet Reported'!W25/'Interim Balance Sheet US$'!W$7</f>
        <v>3748.526812021214</v>
      </c>
      <c r="X25" s="58">
        <f>'Interim Balance Sheet Reported'!X25/'Interim Balance Sheet US$'!X$7</f>
        <v>2845.1317468658508</v>
      </c>
      <c r="Y25" s="58">
        <f>'Interim Balance Sheet Reported'!Y25/'Interim Balance Sheet US$'!Y$7</f>
        <v>2746.0400870805493</v>
      </c>
      <c r="Z25" s="58">
        <f>'Interim Balance Sheet Reported'!Z25/'Interim Balance Sheet US$'!Z$7</f>
        <v>2609.04170646291</v>
      </c>
      <c r="AA25" s="58">
        <f>'Interim Balance Sheet Reported'!AA25/'Interim Balance Sheet US$'!AA$7</f>
        <v>2186.189093255889</v>
      </c>
      <c r="AB25" s="58">
        <f>'Interim Balance Sheet Reported'!AB25/'Interim Balance Sheet US$'!AB$7</f>
        <v>4115.4210028382213</v>
      </c>
    </row>
    <row r="26" spans="1:28" x14ac:dyDescent="0.3">
      <c r="A26" s="85" t="s">
        <v>67</v>
      </c>
      <c r="B26" s="58">
        <f>'Interim Balance Sheet Reported'!B26/'Interim Balance Sheet US$'!B$7</f>
        <v>1423.9761493801977</v>
      </c>
      <c r="C26" s="58">
        <f>'Interim Balance Sheet Reported'!C26/'Interim Balance Sheet US$'!C$7</f>
        <v>1570.1478071238189</v>
      </c>
      <c r="D26" s="58">
        <f>'Interim Balance Sheet Reported'!D26/'Interim Balance Sheet US$'!D$7</f>
        <v>1646.6373068597445</v>
      </c>
      <c r="E26" s="58">
        <f>'Interim Balance Sheet Reported'!E26/'Interim Balance Sheet US$'!E$7</f>
        <v>1516.5149999999999</v>
      </c>
      <c r="F26" s="58">
        <f>'Interim Balance Sheet Reported'!F26/'Interim Balance Sheet US$'!F$7</f>
        <v>1574.1527059368484</v>
      </c>
      <c r="G26" s="58">
        <f>'Interim Balance Sheet Reported'!G26/'Interim Balance Sheet US$'!G$7</f>
        <v>1752.7846534653465</v>
      </c>
      <c r="H26" s="58">
        <f>'Interim Balance Sheet Reported'!H26/'Interim Balance Sheet US$'!H$7</f>
        <v>1841.2432391254665</v>
      </c>
      <c r="I26" s="58">
        <f>'Interim Balance Sheet Reported'!I26/'Interim Balance Sheet US$'!I$7</f>
        <v>1632.7746741154563</v>
      </c>
      <c r="J26" s="58">
        <f>'Interim Balance Sheet Reported'!J26/'Interim Balance Sheet US$'!J$7</f>
        <v>1767.5326625619464</v>
      </c>
      <c r="K26" s="58">
        <f>'Interim Balance Sheet Reported'!K26/'Interim Balance Sheet US$'!K$7</f>
        <v>2070.1833483618875</v>
      </c>
      <c r="L26" s="58">
        <f>'Interim Balance Sheet Reported'!L26/'Interim Balance Sheet US$'!L$7</f>
        <v>2350.5819440075493</v>
      </c>
      <c r="M26" s="58">
        <f>'Interim Balance Sheet Reported'!M26/'Interim Balance Sheet US$'!M$7</f>
        <v>2515.3130220348421</v>
      </c>
      <c r="N26" s="58">
        <f>'Interim Balance Sheet Reported'!N26/'Interim Balance Sheet US$'!N$7</f>
        <v>2557.3643410852715</v>
      </c>
      <c r="O26" s="58">
        <f>'Interim Balance Sheet Reported'!O26/'Interim Balance Sheet US$'!O$7</f>
        <v>2904.024060608368</v>
      </c>
      <c r="P26" s="58">
        <f>'Interim Balance Sheet Reported'!P26/'Interim Balance Sheet US$'!P$7</f>
        <v>3153.0833591571118</v>
      </c>
      <c r="Q26" s="58">
        <f>'Interim Balance Sheet Reported'!Q26/'Interim Balance Sheet US$'!Q$7</f>
        <v>2994.9313156541543</v>
      </c>
      <c r="R26" s="58">
        <f>'Interim Balance Sheet Reported'!R26/'Interim Balance Sheet US$'!R$7</f>
        <v>3216.7203535845383</v>
      </c>
      <c r="S26" s="58">
        <f>'Interim Balance Sheet Reported'!S26/'Interim Balance Sheet US$'!S$7</f>
        <v>3306.6055746468119</v>
      </c>
      <c r="T26" s="58">
        <f>'Interim Balance Sheet Reported'!T26/'Interim Balance Sheet US$'!T$7</f>
        <v>2940.1546734336293</v>
      </c>
      <c r="U26" s="58">
        <f>'Interim Balance Sheet Reported'!U26/'Interim Balance Sheet US$'!U$7</f>
        <v>2924.5573518090841</v>
      </c>
      <c r="V26" s="58">
        <f>'Interim Balance Sheet Reported'!V26/'Interim Balance Sheet US$'!V$7</f>
        <v>2507.5063825649545</v>
      </c>
      <c r="W26" s="58">
        <f>'Interim Balance Sheet Reported'!W26/'Interim Balance Sheet US$'!W$7</f>
        <v>2618.5916322922808</v>
      </c>
      <c r="X26" s="58">
        <f>'Interim Balance Sheet Reported'!X26/'Interim Balance Sheet US$'!X$7</f>
        <v>2991.517153366864</v>
      </c>
      <c r="Y26" s="58">
        <f>'Interim Balance Sheet Reported'!Y26/'Interim Balance Sheet US$'!Y$7</f>
        <v>2884.9185496584341</v>
      </c>
      <c r="Z26" s="58">
        <f>'Interim Balance Sheet Reported'!Z26/'Interim Balance Sheet US$'!Z$7</f>
        <v>2141.8338108882522</v>
      </c>
      <c r="AA26" s="58">
        <f>'Interim Balance Sheet Reported'!AA26/'Interim Balance Sheet US$'!AA$7</f>
        <v>1922.3943207486286</v>
      </c>
      <c r="AB26" s="58">
        <f>'Interim Balance Sheet Reported'!AB26/'Interim Balance Sheet US$'!AB$7</f>
        <v>2745.1907915484076</v>
      </c>
    </row>
    <row r="27" spans="1:28" x14ac:dyDescent="0.3">
      <c r="A27" s="85" t="s">
        <v>68</v>
      </c>
      <c r="B27" s="58">
        <f>'Interim Balance Sheet Reported'!B27/'Interim Balance Sheet US$'!B$7</f>
        <v>62.764788953397144</v>
      </c>
      <c r="C27" s="58">
        <f>'Interim Balance Sheet Reported'!C27/'Interim Balance Sheet US$'!C$7</f>
        <v>41.192149260964385</v>
      </c>
      <c r="D27" s="58">
        <f>'Interim Balance Sheet Reported'!D27/'Interim Balance Sheet US$'!D$7</f>
        <v>70.164962304993651</v>
      </c>
      <c r="E27" s="58">
        <f>'Interim Balance Sheet Reported'!E27/'Interim Balance Sheet US$'!E$7</f>
        <v>65.715649999999997</v>
      </c>
      <c r="F27" s="58">
        <f>'Interim Balance Sheet Reported'!F27/'Interim Balance Sheet US$'!F$7</f>
        <v>47.093337450783601</v>
      </c>
      <c r="G27" s="58">
        <f>'Interim Balance Sheet Reported'!G27/'Interim Balance Sheet US$'!G$7</f>
        <v>42.543316831683171</v>
      </c>
      <c r="H27" s="58">
        <f>'Interim Balance Sheet Reported'!H27/'Interim Balance Sheet US$'!H$7</f>
        <v>67.037403824179179</v>
      </c>
      <c r="I27" s="58">
        <f>'Interim Balance Sheet Reported'!I27/'Interim Balance Sheet US$'!I$7</f>
        <v>93.85474860335195</v>
      </c>
      <c r="J27" s="58">
        <f>'Interim Balance Sheet Reported'!J27/'Interim Balance Sheet US$'!J$7</f>
        <v>62.321669920408475</v>
      </c>
      <c r="K27" s="58">
        <f>'Interim Balance Sheet Reported'!K27/'Interim Balance Sheet US$'!K$7</f>
        <v>50.345656747820861</v>
      </c>
      <c r="L27" s="58">
        <f>'Interim Balance Sheet Reported'!L27/'Interim Balance Sheet US$'!L$7</f>
        <v>84.932368669392886</v>
      </c>
      <c r="M27" s="58">
        <f>'Interim Balance Sheet Reported'!M27/'Interim Balance Sheet US$'!M$7</f>
        <v>117.73128629385094</v>
      </c>
      <c r="N27" s="58">
        <f>'Interim Balance Sheet Reported'!N27/'Interim Balance Sheet US$'!N$7</f>
        <v>71.31782945736434</v>
      </c>
      <c r="O27" s="58">
        <f>'Interim Balance Sheet Reported'!O27/'Interim Balance Sheet US$'!O$7</f>
        <v>54.060227662085509</v>
      </c>
      <c r="P27" s="58">
        <f>'Interim Balance Sheet Reported'!P27/'Interim Balance Sheet US$'!P$7</f>
        <v>89.866749302757981</v>
      </c>
      <c r="Q27" s="58">
        <f>'Interim Balance Sheet Reported'!Q27/'Interim Balance Sheet US$'!Q$7</f>
        <v>118.2693014030706</v>
      </c>
      <c r="R27" s="58">
        <f>'Interim Balance Sheet Reported'!R27/'Interim Balance Sheet US$'!R$7</f>
        <v>77.908457562364219</v>
      </c>
      <c r="S27" s="58">
        <f>'Interim Balance Sheet Reported'!S27/'Interim Balance Sheet US$'!S$7</f>
        <v>60.32836960672013</v>
      </c>
      <c r="T27" s="58">
        <f>'Interim Balance Sheet Reported'!T27/'Interim Balance Sheet US$'!T$7</f>
        <v>93.649930517793493</v>
      </c>
      <c r="U27" s="58">
        <f>'Interim Balance Sheet Reported'!U27/'Interim Balance Sheet US$'!U$7</f>
        <v>120.86220169361047</v>
      </c>
      <c r="V27" s="58">
        <f>'Interim Balance Sheet Reported'!V27/'Interim Balance Sheet US$'!V$7</f>
        <v>72.95851904073173</v>
      </c>
      <c r="W27" s="58">
        <f>'Interim Balance Sheet Reported'!W27/'Interim Balance Sheet US$'!W$7</f>
        <v>73.659398939304666</v>
      </c>
      <c r="X27" s="58">
        <f>'Interim Balance Sheet Reported'!X27/'Interim Balance Sheet US$'!X$7</f>
        <v>64.559717738908489</v>
      </c>
      <c r="Y27" s="58">
        <f>'Interim Balance Sheet Reported'!Y27/'Interim Balance Sheet US$'!Y$7</f>
        <v>79.573605585166277</v>
      </c>
      <c r="Z27" s="58">
        <f>'Interim Balance Sheet Reported'!Z27/'Interim Balance Sheet US$'!Z$7</f>
        <v>82.776185928048392</v>
      </c>
      <c r="AA27" s="58">
        <f>'Interim Balance Sheet Reported'!AA27/'Interim Balance Sheet US$'!AA$7</f>
        <v>45.175863181671502</v>
      </c>
      <c r="AB27" s="58">
        <f>'Interim Balance Sheet Reported'!AB27/'Interim Balance Sheet US$'!AB$7</f>
        <v>72.532324187953336</v>
      </c>
    </row>
    <row r="28" spans="1:28" x14ac:dyDescent="0.3">
      <c r="A28" s="85" t="s">
        <v>69</v>
      </c>
      <c r="B28" s="58">
        <f>'Interim Balance Sheet Reported'!B28/'Interim Balance Sheet US$'!B$7</f>
        <v>120.03765887337204</v>
      </c>
      <c r="C28" s="58">
        <f>'Interim Balance Sheet Reported'!C28/'Interim Balance Sheet US$'!C$7</f>
        <v>118.73031257572086</v>
      </c>
      <c r="D28" s="58">
        <f>'Interim Balance Sheet Reported'!D28/'Interim Balance Sheet US$'!D$7</f>
        <v>121.66903037993579</v>
      </c>
      <c r="E28" s="58">
        <f>'Interim Balance Sheet Reported'!E28/'Interim Balance Sheet US$'!E$7</f>
        <v>131.43129999999999</v>
      </c>
      <c r="F28" s="58">
        <f>'Interim Balance Sheet Reported'!F28/'Interim Balance Sheet US$'!F$7</f>
        <v>125.83957384389716</v>
      </c>
      <c r="G28" s="58">
        <f>'Interim Balance Sheet Reported'!G28/'Interim Balance Sheet US$'!G$7</f>
        <v>131.49752475247524</v>
      </c>
      <c r="H28" s="58">
        <f>'Interim Balance Sheet Reported'!H28/'Interim Balance Sheet US$'!H$7</f>
        <v>131.02765292907748</v>
      </c>
      <c r="I28" s="58">
        <f>'Interim Balance Sheet Reported'!I28/'Interim Balance Sheet US$'!I$7</f>
        <v>138.54748603351956</v>
      </c>
      <c r="J28" s="58">
        <f>'Interim Balance Sheet Reported'!J28/'Interim Balance Sheet US$'!J$7</f>
        <v>142.66406367322423</v>
      </c>
      <c r="K28" s="58">
        <f>'Interim Balance Sheet Reported'!K28/'Interim Balance Sheet US$'!K$7</f>
        <v>129.9969942891494</v>
      </c>
      <c r="L28" s="58">
        <f>'Interim Balance Sheet Reported'!L28/'Interim Balance Sheet US$'!L$7</f>
        <v>143.12676942434726</v>
      </c>
      <c r="M28" s="58">
        <f>'Interim Balance Sheet Reported'!M28/'Interim Balance Sheet US$'!M$7</f>
        <v>163.86922281441414</v>
      </c>
      <c r="N28" s="58">
        <f>'Interim Balance Sheet Reported'!N28/'Interim Balance Sheet US$'!N$7</f>
        <v>148.83720930232559</v>
      </c>
      <c r="O28" s="58">
        <f>'Interim Balance Sheet Reported'!O28/'Interim Balance Sheet US$'!O$7</f>
        <v>159.13503635740662</v>
      </c>
      <c r="P28" s="58">
        <f>'Interim Balance Sheet Reported'!P28/'Interim Balance Sheet US$'!P$7</f>
        <v>175.08521846916642</v>
      </c>
      <c r="Q28" s="58">
        <f>'Interim Balance Sheet Reported'!Q28/'Interim Balance Sheet US$'!Q$7</f>
        <v>161.6102255197238</v>
      </c>
      <c r="R28" s="58">
        <f>'Interim Balance Sheet Reported'!R28/'Interim Balance Sheet US$'!R$7</f>
        <v>147.57659749793993</v>
      </c>
      <c r="S28" s="58">
        <f>'Interim Balance Sheet Reported'!S28/'Interim Balance Sheet US$'!S$7</f>
        <v>163.42115311187479</v>
      </c>
      <c r="T28" s="58">
        <f>'Interim Balance Sheet Reported'!T28/'Interim Balance Sheet US$'!T$7</f>
        <v>159.35593015527763</v>
      </c>
      <c r="U28" s="58">
        <f>'Interim Balance Sheet Reported'!U28/'Interim Balance Sheet US$'!U$7</f>
        <v>163.20246343341032</v>
      </c>
      <c r="V28" s="58">
        <f>'Interim Balance Sheet Reported'!V28/'Interim Balance Sheet US$'!V$7</f>
        <v>150.87538403568794</v>
      </c>
      <c r="W28" s="58">
        <f>'Interim Balance Sheet Reported'!W28/'Interim Balance Sheet US$'!W$7</f>
        <v>142.89923394225104</v>
      </c>
      <c r="X28" s="58">
        <f>'Interim Balance Sheet Reported'!X28/'Interim Balance Sheet US$'!X$7</f>
        <v>143.38262893176187</v>
      </c>
      <c r="Y28" s="58">
        <f>'Interim Balance Sheet Reported'!Y28/'Interim Balance Sheet US$'!Y$7</f>
        <v>124.61526912393964</v>
      </c>
      <c r="Z28" s="58">
        <f>'Interim Balance Sheet Reported'!Z28/'Interim Balance Sheet US$'!Z$7</f>
        <v>126.55205348615091</v>
      </c>
      <c r="AA28" s="58">
        <f>'Interim Balance Sheet Reported'!AA28/'Interim Balance Sheet US$'!AA$7</f>
        <v>141.98128428525331</v>
      </c>
      <c r="AB28" s="58">
        <f>'Interim Balance Sheet Reported'!AB28/'Interim Balance Sheet US$'!AB$7</f>
        <v>147.42983286029644</v>
      </c>
    </row>
    <row r="29" spans="1:28" x14ac:dyDescent="0.3">
      <c r="A29" s="85" t="s">
        <v>70</v>
      </c>
      <c r="B29" s="58">
        <f>'Interim Balance Sheet Reported'!B29/'Interim Balance Sheet US$'!B$7</f>
        <v>0</v>
      </c>
      <c r="C29" s="58">
        <f>'Interim Balance Sheet Reported'!C29/'Interim Balance Sheet US$'!C$7</f>
        <v>0</v>
      </c>
      <c r="D29" s="58">
        <f>'Interim Balance Sheet Reported'!D29/'Interim Balance Sheet US$'!D$7</f>
        <v>0</v>
      </c>
      <c r="E29" s="58">
        <f>'Interim Balance Sheet Reported'!E29/'Interim Balance Sheet US$'!E$7</f>
        <v>0</v>
      </c>
      <c r="F29" s="58">
        <f>'Interim Balance Sheet Reported'!F29/'Interim Balance Sheet US$'!F$7</f>
        <v>0</v>
      </c>
      <c r="G29" s="58">
        <f>'Interim Balance Sheet Reported'!G29/'Interim Balance Sheet US$'!G$7</f>
        <v>0</v>
      </c>
      <c r="H29" s="58">
        <f>'Interim Balance Sheet Reported'!H29/'Interim Balance Sheet US$'!H$7</f>
        <v>0</v>
      </c>
      <c r="I29" s="58">
        <f>'Interim Balance Sheet Reported'!I29/'Interim Balance Sheet US$'!I$7</f>
        <v>0</v>
      </c>
      <c r="J29" s="58">
        <f>'Interim Balance Sheet Reported'!J29/'Interim Balance Sheet US$'!J$7</f>
        <v>0</v>
      </c>
      <c r="K29" s="58">
        <f>'Interim Balance Sheet Reported'!K29/'Interim Balance Sheet US$'!K$7</f>
        <v>0</v>
      </c>
      <c r="L29" s="58">
        <f>'Interim Balance Sheet Reported'!L29/'Interim Balance Sheet US$'!L$7</f>
        <v>0</v>
      </c>
      <c r="M29" s="58">
        <f>'Interim Balance Sheet Reported'!M29/'Interim Balance Sheet US$'!M$7</f>
        <v>0</v>
      </c>
      <c r="N29" s="58">
        <f>'Interim Balance Sheet Reported'!N29/'Interim Balance Sheet US$'!N$7</f>
        <v>0</v>
      </c>
      <c r="O29" s="58">
        <f>'Interim Balance Sheet Reported'!O29/'Interim Balance Sheet US$'!O$7</f>
        <v>0</v>
      </c>
      <c r="P29" s="58">
        <f>'Interim Balance Sheet Reported'!P29/'Interim Balance Sheet US$'!P$7</f>
        <v>0</v>
      </c>
      <c r="Q29" s="58">
        <f>'Interim Balance Sheet Reported'!Q29/'Interim Balance Sheet US$'!Q$7</f>
        <v>0</v>
      </c>
      <c r="R29" s="58">
        <f>'Interim Balance Sheet Reported'!R29/'Interim Balance Sheet US$'!R$7</f>
        <v>0</v>
      </c>
      <c r="S29" s="58">
        <f>'Interim Balance Sheet Reported'!S29/'Interim Balance Sheet US$'!S$7</f>
        <v>0</v>
      </c>
      <c r="T29" s="58">
        <f>'Interim Balance Sheet Reported'!T29/'Interim Balance Sheet US$'!T$7</f>
        <v>0</v>
      </c>
      <c r="U29" s="58">
        <f>'Interim Balance Sheet Reported'!U29/'Interim Balance Sheet US$'!U$7</f>
        <v>0</v>
      </c>
      <c r="V29" s="58">
        <f>'Interim Balance Sheet Reported'!V29/'Interim Balance Sheet US$'!V$7</f>
        <v>0</v>
      </c>
      <c r="W29" s="58">
        <f>'Interim Balance Sheet Reported'!W29/'Interim Balance Sheet US$'!W$7</f>
        <v>0</v>
      </c>
      <c r="X29" s="58">
        <f>'Interim Balance Sheet Reported'!X29/'Interim Balance Sheet US$'!X$7</f>
        <v>0</v>
      </c>
      <c r="Y29" s="58">
        <f>'Interim Balance Sheet Reported'!Y29/'Interim Balance Sheet US$'!Y$7</f>
        <v>0</v>
      </c>
      <c r="Z29" s="58">
        <f>'Interim Balance Sheet Reported'!Z29/'Interim Balance Sheet US$'!Z$7</f>
        <v>0</v>
      </c>
      <c r="AA29" s="58">
        <f>'Interim Balance Sheet Reported'!AA29/'Interim Balance Sheet US$'!AA$7</f>
        <v>0</v>
      </c>
      <c r="AB29" s="58">
        <f>'Interim Balance Sheet Reported'!AB29/'Interim Balance Sheet US$'!AB$7</f>
        <v>0</v>
      </c>
    </row>
    <row r="30" spans="1:28" x14ac:dyDescent="0.3">
      <c r="A30" s="85" t="s">
        <v>71</v>
      </c>
      <c r="B30" s="58">
        <f>'Interim Balance Sheet Reported'!B30/'Interim Balance Sheet US$'!B$7</f>
        <v>608.81845284795236</v>
      </c>
      <c r="C30" s="58">
        <f>'Interim Balance Sheet Reported'!C30/'Interim Balance Sheet US$'!C$7</f>
        <v>663.92052338260237</v>
      </c>
      <c r="D30" s="58">
        <f>'Interim Balance Sheet Reported'!D30/'Interim Balance Sheet US$'!D$7</f>
        <v>560.57326267074711</v>
      </c>
      <c r="E30" s="58">
        <f>'Interim Balance Sheet Reported'!E30/'Interim Balance Sheet US$'!E$7</f>
        <v>472.28609999999998</v>
      </c>
      <c r="F30" s="58">
        <f>'Interim Balance Sheet Reported'!F30/'Interim Balance Sheet US$'!F$7</f>
        <v>585.19261947039286</v>
      </c>
      <c r="G30" s="58">
        <f>'Interim Balance Sheet Reported'!G30/'Interim Balance Sheet US$'!G$7</f>
        <v>630.41460396039611</v>
      </c>
      <c r="H30" s="58">
        <f>'Interim Balance Sheet Reported'!H30/'Interim Balance Sheet US$'!H$7</f>
        <v>578.95939666336562</v>
      </c>
      <c r="I30" s="58">
        <f>'Interim Balance Sheet Reported'!I30/'Interim Balance Sheet US$'!I$7</f>
        <v>526.6294227188082</v>
      </c>
      <c r="J30" s="58">
        <f>'Interim Balance Sheet Reported'!J30/'Interim Balance Sheet US$'!J$7</f>
        <v>589.42784201832114</v>
      </c>
      <c r="K30" s="58">
        <f>'Interim Balance Sheet Reported'!K30/'Interim Balance Sheet US$'!K$7</f>
        <v>654.49353772167115</v>
      </c>
      <c r="L30" s="58">
        <f>'Interim Balance Sheet Reported'!L30/'Interim Balance Sheet US$'!L$7</f>
        <v>620.47813777917577</v>
      </c>
      <c r="M30" s="58">
        <f>'Interim Balance Sheet Reported'!M30/'Interim Balance Sheet US$'!M$7</f>
        <v>647.52207461618013</v>
      </c>
      <c r="N30" s="58">
        <f>'Interim Balance Sheet Reported'!N30/'Interim Balance Sheet US$'!N$7</f>
        <v>690.69767441860461</v>
      </c>
      <c r="O30" s="58">
        <f>'Interim Balance Sheet Reported'!O30/'Interim Balance Sheet US$'!O$7</f>
        <v>743.1377774393726</v>
      </c>
      <c r="P30" s="58">
        <f>'Interim Balance Sheet Reported'!P30/'Interim Balance Sheet US$'!P$7</f>
        <v>743.72482181592818</v>
      </c>
      <c r="Q30" s="58">
        <f>'Interim Balance Sheet Reported'!Q30/'Interim Balance Sheet US$'!Q$7</f>
        <v>584.7351796077279</v>
      </c>
      <c r="R30" s="58">
        <f>'Interim Balance Sheet Reported'!R30/'Interim Balance Sheet US$'!R$7</f>
        <v>701.17611806127798</v>
      </c>
      <c r="S30" s="58">
        <f>'Interim Balance Sheet Reported'!S30/'Interim Balance Sheet US$'!S$7</f>
        <v>801.8327605956473</v>
      </c>
      <c r="T30" s="58">
        <f>'Interim Balance Sheet Reported'!T30/'Interim Balance Sheet US$'!T$7</f>
        <v>675.94103075342889</v>
      </c>
      <c r="U30" s="58">
        <f>'Interim Balance Sheet Reported'!U30/'Interim Balance Sheet US$'!U$7</f>
        <v>712.85604311008467</v>
      </c>
      <c r="V30" s="58">
        <f>'Interim Balance Sheet Reported'!V30/'Interim Balance Sheet US$'!V$7</f>
        <v>401.62602229218339</v>
      </c>
      <c r="W30" s="58">
        <f>'Interim Balance Sheet Reported'!W30/'Interim Balance Sheet US$'!W$7</f>
        <v>498.67413081909257</v>
      </c>
      <c r="X30" s="58">
        <f>'Interim Balance Sheet Reported'!X30/'Interim Balance Sheet US$'!X$7</f>
        <v>388.85969521807669</v>
      </c>
      <c r="Y30" s="58">
        <f>'Interim Balance Sheet Reported'!Y30/'Interim Balance Sheet US$'!Y$7</f>
        <v>483.44718864950079</v>
      </c>
      <c r="Z30" s="58">
        <f>'Interim Balance Sheet Reported'!Z30/'Interim Balance Sheet US$'!Z$7</f>
        <v>530.88188475007962</v>
      </c>
      <c r="AA30" s="58">
        <f>'Interim Balance Sheet Reported'!AA30/'Interim Balance Sheet US$'!AA$7</f>
        <v>497.74120684091639</v>
      </c>
      <c r="AB30" s="58">
        <f>'Interim Balance Sheet Reported'!AB30/'Interim Balance Sheet US$'!AB$7</f>
        <v>586.56575212866608</v>
      </c>
    </row>
    <row r="31" spans="1:28" x14ac:dyDescent="0.3">
      <c r="A31" s="85" t="s">
        <v>72</v>
      </c>
      <c r="B31" s="58">
        <f>'Interim Balance Sheet Reported'!B31/'Interim Balance Sheet US$'!B$7</f>
        <v>0</v>
      </c>
      <c r="C31" s="58">
        <f>'Interim Balance Sheet Reported'!C31/'Interim Balance Sheet US$'!C$7</f>
        <v>0</v>
      </c>
      <c r="D31" s="58">
        <f>'Interim Balance Sheet Reported'!D31/'Interim Balance Sheet US$'!D$7</f>
        <v>0</v>
      </c>
      <c r="E31" s="58">
        <f>'Interim Balance Sheet Reported'!E31/'Interim Balance Sheet US$'!E$7</f>
        <v>0</v>
      </c>
      <c r="F31" s="58">
        <f>'Interim Balance Sheet Reported'!F31/'Interim Balance Sheet US$'!F$7</f>
        <v>0</v>
      </c>
      <c r="G31" s="58">
        <f>'Interim Balance Sheet Reported'!G31/'Interim Balance Sheet US$'!G$7</f>
        <v>0</v>
      </c>
      <c r="H31" s="58">
        <f>'Interim Balance Sheet Reported'!H31/'Interim Balance Sheet US$'!H$7</f>
        <v>0</v>
      </c>
      <c r="I31" s="58">
        <f>'Interim Balance Sheet Reported'!I31/'Interim Balance Sheet US$'!I$7</f>
        <v>0</v>
      </c>
      <c r="J31" s="58">
        <f>'Interim Balance Sheet Reported'!J31/'Interim Balance Sheet US$'!J$7</f>
        <v>0</v>
      </c>
      <c r="K31" s="58">
        <f>'Interim Balance Sheet Reported'!K31/'Interim Balance Sheet US$'!K$7</f>
        <v>0</v>
      </c>
      <c r="L31" s="58">
        <f>'Interim Balance Sheet Reported'!L31/'Interim Balance Sheet US$'!L$7</f>
        <v>0</v>
      </c>
      <c r="M31" s="58">
        <f>'Interim Balance Sheet Reported'!M31/'Interim Balance Sheet US$'!M$7</f>
        <v>0</v>
      </c>
      <c r="N31" s="58">
        <f>'Interim Balance Sheet Reported'!N31/'Interim Balance Sheet US$'!N$7</f>
        <v>0</v>
      </c>
      <c r="O31" s="58">
        <f>'Interim Balance Sheet Reported'!O31/'Interim Balance Sheet US$'!O$7</f>
        <v>0</v>
      </c>
      <c r="P31" s="58">
        <f>'Interim Balance Sheet Reported'!P31/'Interim Balance Sheet US$'!P$7</f>
        <v>0</v>
      </c>
      <c r="Q31" s="58">
        <f>'Interim Balance Sheet Reported'!Q31/'Interim Balance Sheet US$'!Q$7</f>
        <v>0</v>
      </c>
      <c r="R31" s="58">
        <f>'Interim Balance Sheet Reported'!R31/'Interim Balance Sheet US$'!R$7</f>
        <v>0</v>
      </c>
      <c r="S31" s="58">
        <f>'Interim Balance Sheet Reported'!S31/'Interim Balance Sheet US$'!S$7</f>
        <v>0</v>
      </c>
      <c r="T31" s="58">
        <f>'Interim Balance Sheet Reported'!T31/'Interim Balance Sheet US$'!T$7</f>
        <v>0</v>
      </c>
      <c r="U31" s="58">
        <f>'Interim Balance Sheet Reported'!U31/'Interim Balance Sheet US$'!U$7</f>
        <v>0</v>
      </c>
      <c r="V31" s="58">
        <f>'Interim Balance Sheet Reported'!V31/'Interim Balance Sheet US$'!V$7</f>
        <v>0</v>
      </c>
      <c r="W31" s="58">
        <f>'Interim Balance Sheet Reported'!W31/'Interim Balance Sheet US$'!W$7</f>
        <v>0</v>
      </c>
      <c r="X31" s="58">
        <f>'Interim Balance Sheet Reported'!X31/'Interim Balance Sheet US$'!X$7</f>
        <v>0</v>
      </c>
      <c r="Y31" s="58">
        <f>'Interim Balance Sheet Reported'!Y31/'Interim Balance Sheet US$'!Y$7</f>
        <v>0</v>
      </c>
      <c r="Z31" s="58">
        <f>'Interim Balance Sheet Reported'!Z31/'Interim Balance Sheet US$'!Z$7</f>
        <v>0</v>
      </c>
      <c r="AA31" s="58">
        <f>'Interim Balance Sheet Reported'!AA31/'Interim Balance Sheet US$'!AA$7</f>
        <v>0</v>
      </c>
      <c r="AB31" s="58">
        <f>'Interim Balance Sheet Reported'!AB31/'Interim Balance Sheet US$'!AB$7</f>
        <v>0</v>
      </c>
    </row>
    <row r="32" spans="1:28" x14ac:dyDescent="0.3">
      <c r="A32" s="85" t="s">
        <v>73</v>
      </c>
      <c r="B32" s="60">
        <f>'Interim Balance Sheet Reported'!B32/'Interim Balance Sheet US$'!B$7</f>
        <v>224.3841205083948</v>
      </c>
      <c r="C32" s="60">
        <f>'Interim Balance Sheet Reported'!C32/'Interim Balance Sheet US$'!C$7</f>
        <v>203.53767870123576</v>
      </c>
      <c r="D32" s="60">
        <f>'Interim Balance Sheet Reported'!D32/'Interim Balance Sheet US$'!D$7</f>
        <v>195.56617153093976</v>
      </c>
      <c r="E32" s="60">
        <f>'Interim Balance Sheet Reported'!E32/'Interim Balance Sheet US$'!E$7</f>
        <v>379.85089999999997</v>
      </c>
      <c r="F32" s="60">
        <f>'Interim Balance Sheet Reported'!F32/'Interim Balance Sheet US$'!F$7</f>
        <v>272.52373967420669</v>
      </c>
      <c r="G32" s="60">
        <f>'Interim Balance Sheet Reported'!G32/'Interim Balance Sheet US$'!G$7</f>
        <v>205.75495049504951</v>
      </c>
      <c r="H32" s="60">
        <f>'Interim Balance Sheet Reported'!H32/'Interim Balance Sheet US$'!H$7</f>
        <v>205.68294355145883</v>
      </c>
      <c r="I32" s="60">
        <f>'Interim Balance Sheet Reported'!I32/'Interim Balance Sheet US$'!I$7</f>
        <v>259.96275605214151</v>
      </c>
      <c r="J32" s="60">
        <f>'Interim Balance Sheet Reported'!J32/'Interim Balance Sheet US$'!J$7</f>
        <v>179.45637483105574</v>
      </c>
      <c r="K32" s="60">
        <f>'Interim Balance Sheet Reported'!K32/'Interim Balance Sheet US$'!K$7</f>
        <v>161.55695822061918</v>
      </c>
      <c r="L32" s="60">
        <f>'Interim Balance Sheet Reported'!L32/'Interim Balance Sheet US$'!L$7</f>
        <v>213.90374331550802</v>
      </c>
      <c r="M32" s="60">
        <f>'Interim Balance Sheet Reported'!M32/'Interim Balance Sheet US$'!M$7</f>
        <v>258.53154084798348</v>
      </c>
      <c r="N32" s="60">
        <f>'Interim Balance Sheet Reported'!N32/'Interim Balance Sheet US$'!N$7</f>
        <v>237.98449612403101</v>
      </c>
      <c r="O32" s="60">
        <f>'Interim Balance Sheet Reported'!O32/'Interim Balance Sheet US$'!O$7</f>
        <v>493.39475387368179</v>
      </c>
      <c r="P32" s="60">
        <f>'Interim Balance Sheet Reported'!P32/'Interim Balance Sheet US$'!P$7</f>
        <v>286.64394174155564</v>
      </c>
      <c r="Q32" s="60">
        <f>'Interim Balance Sheet Reported'!Q32/'Interim Balance Sheet US$'!Q$7</f>
        <v>306.32483655329463</v>
      </c>
      <c r="R32" s="60">
        <f>'Interim Balance Sheet Reported'!R32/'Interim Balance Sheet US$'!R$7</f>
        <v>255.44984643044424</v>
      </c>
      <c r="S32" s="60">
        <f>'Interim Balance Sheet Reported'!S32/'Interim Balance Sheet US$'!S$7</f>
        <v>265.75028636884309</v>
      </c>
      <c r="T32" s="60">
        <f>'Interim Balance Sheet Reported'!T32/'Interim Balance Sheet US$'!T$7</f>
        <v>238.6562745453447</v>
      </c>
      <c r="U32" s="60">
        <f>'Interim Balance Sheet Reported'!U32/'Interim Balance Sheet US$'!U$7</f>
        <v>255.58121632024637</v>
      </c>
      <c r="V32" s="60">
        <f>'Interim Balance Sheet Reported'!V32/'Interim Balance Sheet US$'!V$7</f>
        <v>189.12548139684824</v>
      </c>
      <c r="W32" s="60">
        <f>'Interim Balance Sheet Reported'!W32/'Interim Balance Sheet US$'!W$7</f>
        <v>134.06010606953447</v>
      </c>
      <c r="X32" s="60">
        <f>'Interim Balance Sheet Reported'!X32/'Interim Balance Sheet US$'!X$7</f>
        <v>129.87012987012986</v>
      </c>
      <c r="Y32" s="60">
        <f>'Interim Balance Sheet Reported'!Y32/'Interim Balance Sheet US$'!Y$7</f>
        <v>190.67637564747392</v>
      </c>
      <c r="Z32" s="60">
        <f>'Interim Balance Sheet Reported'!Z32/'Interim Balance Sheet US$'!Z$7</f>
        <v>178.28716969118116</v>
      </c>
      <c r="AA32" s="60">
        <f>'Interim Balance Sheet Reported'!AA32/'Interim Balance Sheet US$'!AA$7</f>
        <v>169.40948693126813</v>
      </c>
      <c r="AB32" s="60">
        <f>'Interim Balance Sheet Reported'!AB32/'Interim Balance Sheet US$'!AB$7</f>
        <v>105.64490696941029</v>
      </c>
    </row>
    <row r="33" spans="1:28" x14ac:dyDescent="0.3">
      <c r="A33" s="14" t="s">
        <v>74</v>
      </c>
      <c r="B33" s="22">
        <f>SUM(B25:B32)</f>
        <v>3252.0006276478898</v>
      </c>
      <c r="C33" s="22">
        <f>SUM(C25:C32)</f>
        <v>3467.4097407317663</v>
      </c>
      <c r="D33" s="22">
        <f t="shared" ref="D33:I33" si="15">SUM(D25:D32)</f>
        <v>3273.8672837202362</v>
      </c>
      <c r="E33" s="22">
        <f t="shared" si="15"/>
        <v>2978.8687499999996</v>
      </c>
      <c r="F33" s="22">
        <f t="shared" si="15"/>
        <v>3305.797884659924</v>
      </c>
      <c r="G33" s="22">
        <f t="shared" si="15"/>
        <v>3445.2351485148515</v>
      </c>
      <c r="H33" s="22">
        <f t="shared" si="15"/>
        <v>3598.6897234707089</v>
      </c>
      <c r="I33" s="22">
        <f t="shared" si="15"/>
        <v>3237.9888268156428</v>
      </c>
      <c r="J33" s="22">
        <f>SUM(J25:J32)</f>
        <v>3694.9992491365074</v>
      </c>
      <c r="K33" s="22">
        <f>SUM(K25:K32)</f>
        <v>4042.6810940787495</v>
      </c>
      <c r="L33" s="22">
        <f>SUM(L25:L32)</f>
        <v>4314.2497640767533</v>
      </c>
      <c r="M33" s="22">
        <f>SUM(M25:M32)</f>
        <v>4213.6663749900572</v>
      </c>
      <c r="N33" s="22">
        <f t="shared" ref="N33" si="16">SUM(N25:N32)</f>
        <v>4634.1085271317825</v>
      </c>
      <c r="O33" s="22">
        <f>SUM(O25:O32)</f>
        <v>5005.5202345147909</v>
      </c>
      <c r="P33" s="22">
        <f>SUM(P25:P32)</f>
        <v>5108.4598698481568</v>
      </c>
      <c r="Q33" s="22">
        <f>SUM(Q25:Q32)</f>
        <v>4628.6637772717258</v>
      </c>
      <c r="R33" s="22">
        <f t="shared" ref="R33:S33" si="17">SUM(R25:R32)</f>
        <v>5583.9388718256041</v>
      </c>
      <c r="S33" s="22">
        <f t="shared" si="17"/>
        <v>5812.9056891943492</v>
      </c>
      <c r="T33" s="22">
        <f t="shared" ref="T33:U33" si="18">SUM(T25:T32)</f>
        <v>5600.1147966890221</v>
      </c>
      <c r="U33" s="22">
        <f t="shared" si="18"/>
        <v>5785.98922247883</v>
      </c>
      <c r="V33" s="22">
        <f t="shared" ref="V33:Y33" si="19">SUM(V25:V32)</f>
        <v>5155.2631221208294</v>
      </c>
      <c r="W33" s="22">
        <f t="shared" si="19"/>
        <v>7216.411314083678</v>
      </c>
      <c r="X33" s="22">
        <f t="shared" si="19"/>
        <v>6563.3210719915915</v>
      </c>
      <c r="Y33" s="22">
        <f t="shared" si="19"/>
        <v>6509.271075745065</v>
      </c>
      <c r="Z33" s="22">
        <f t="shared" ref="Z33:AA33" si="20">SUM(Z25:Z32)</f>
        <v>5669.3728112066219</v>
      </c>
      <c r="AA33" s="22">
        <f t="shared" si="20"/>
        <v>4962.8912552436277</v>
      </c>
      <c r="AB33" s="22">
        <f t="shared" ref="AB33" si="21">SUM(AB25:AB32)</f>
        <v>7772.7846105329536</v>
      </c>
    </row>
    <row r="34" spans="1:28" x14ac:dyDescent="0.3">
      <c r="A34" s="14" t="s">
        <v>91</v>
      </c>
      <c r="B34" s="22">
        <f t="shared" ref="B34:I34" si="22">B24+B33</f>
        <v>9085.9877608661554</v>
      </c>
      <c r="C34" s="22">
        <f t="shared" si="22"/>
        <v>9994.3461755916323</v>
      </c>
      <c r="D34" s="22">
        <f t="shared" si="22"/>
        <v>9520.7882361722768</v>
      </c>
      <c r="E34" s="22">
        <f t="shared" si="22"/>
        <v>9479.6630499999992</v>
      </c>
      <c r="F34" s="22">
        <f t="shared" si="22"/>
        <v>10424.612058982473</v>
      </c>
      <c r="G34" s="22">
        <f t="shared" si="22"/>
        <v>11246.132425742575</v>
      </c>
      <c r="H34" s="22">
        <f t="shared" si="22"/>
        <v>11312.561895330235</v>
      </c>
      <c r="I34" s="22">
        <f t="shared" si="22"/>
        <v>11258.100558659218</v>
      </c>
      <c r="J34" s="22">
        <f>J24+J33</f>
        <v>11911.698453221205</v>
      </c>
      <c r="K34" s="22">
        <f>K24+K33</f>
        <v>12517.282837391043</v>
      </c>
      <c r="L34" s="22">
        <f>L24+L33</f>
        <v>13700.06291286568</v>
      </c>
      <c r="M34" s="22">
        <f>M24+M33</f>
        <v>14078.434492084958</v>
      </c>
      <c r="N34" s="22">
        <f t="shared" ref="N34" si="23">N24+N33</f>
        <v>14705.426356589147</v>
      </c>
      <c r="O34" s="22">
        <f>O24+O33</f>
        <v>15332.546541287549</v>
      </c>
      <c r="P34" s="22">
        <f>P24+P33</f>
        <v>15321.506042764178</v>
      </c>
      <c r="Q34" s="22">
        <f>Q24+Q33</f>
        <v>16075.075295673254</v>
      </c>
      <c r="R34" s="22">
        <f t="shared" ref="R34:S34" si="24">R24+R33</f>
        <v>20399.280845007117</v>
      </c>
      <c r="S34" s="22">
        <f t="shared" si="24"/>
        <v>21122.565864833909</v>
      </c>
      <c r="T34" s="22">
        <f t="shared" ref="T34:U34" si="25">T24+T33</f>
        <v>20766.872092320707</v>
      </c>
      <c r="U34" s="22">
        <f t="shared" si="25"/>
        <v>21369.515011547344</v>
      </c>
      <c r="V34" s="22">
        <f t="shared" ref="V34:Y34" si="26">V24+V33</f>
        <v>20071.384422700718</v>
      </c>
      <c r="W34" s="22">
        <f t="shared" si="26"/>
        <v>21659.546258102535</v>
      </c>
      <c r="X34" s="22">
        <f t="shared" si="26"/>
        <v>21439.081150063808</v>
      </c>
      <c r="Y34" s="22">
        <f t="shared" si="26"/>
        <v>21704.826964942571</v>
      </c>
      <c r="Z34" s="22">
        <f t="shared" ref="Z34:AA34" si="27">Z24+Z33</f>
        <v>21859.280483922317</v>
      </c>
      <c r="AA34" s="22">
        <f t="shared" si="27"/>
        <v>21381.090674411102</v>
      </c>
      <c r="AB34" s="22">
        <f t="shared" ref="AB34" si="28">AB24+AB33</f>
        <v>23888.363292336802</v>
      </c>
    </row>
    <row r="35" spans="1:28" x14ac:dyDescent="0.3">
      <c r="A35" s="85" t="s">
        <v>92</v>
      </c>
      <c r="B35" s="58">
        <f>'Interim Balance Sheet Reported'!B35/'Interim Balance Sheet US$'!B$7</f>
        <v>0</v>
      </c>
      <c r="C35" s="58">
        <f>'Interim Balance Sheet Reported'!C35/'Interim Balance Sheet US$'!C$7</f>
        <v>0</v>
      </c>
      <c r="D35" s="58">
        <f>'Interim Balance Sheet Reported'!D35/'Interim Balance Sheet US$'!D$7</f>
        <v>0</v>
      </c>
      <c r="E35" s="58">
        <f>'Interim Balance Sheet Reported'!E35/'Interim Balance Sheet US$'!E$7</f>
        <v>0</v>
      </c>
      <c r="F35" s="58">
        <f>'Interim Balance Sheet Reported'!F35/'Interim Balance Sheet US$'!F$7</f>
        <v>0</v>
      </c>
      <c r="G35" s="58">
        <f>'Interim Balance Sheet Reported'!G35/'Interim Balance Sheet US$'!G$7</f>
        <v>0</v>
      </c>
      <c r="H35" s="58">
        <f>'Interim Balance Sheet Reported'!H35/'Interim Balance Sheet US$'!H$7</f>
        <v>0</v>
      </c>
      <c r="I35" s="58">
        <f>'Interim Balance Sheet Reported'!I35/'Interim Balance Sheet US$'!I$7</f>
        <v>0</v>
      </c>
      <c r="J35" s="58">
        <f>'Interim Balance Sheet Reported'!J35/'Interim Balance Sheet US$'!J$7</f>
        <v>0</v>
      </c>
      <c r="K35" s="58">
        <f>'Interim Balance Sheet Reported'!K35/'Interim Balance Sheet US$'!K$7</f>
        <v>0</v>
      </c>
      <c r="L35" s="58">
        <f>'Interim Balance Sheet Reported'!L35/'Interim Balance Sheet US$'!L$7</f>
        <v>0</v>
      </c>
      <c r="M35" s="58">
        <f>'Interim Balance Sheet Reported'!M35/'Interim Balance Sheet US$'!M$7</f>
        <v>0</v>
      </c>
      <c r="N35" s="58">
        <f>'Interim Balance Sheet Reported'!N35/'Interim Balance Sheet US$'!N$7</f>
        <v>0</v>
      </c>
      <c r="O35" s="58">
        <f>'Interim Balance Sheet Reported'!O35/'Interim Balance Sheet US$'!O$7</f>
        <v>0</v>
      </c>
      <c r="P35" s="58">
        <f>'Interim Balance Sheet Reported'!P35/'Interim Balance Sheet US$'!P$7</f>
        <v>0</v>
      </c>
      <c r="Q35" s="58">
        <f>'Interim Balance Sheet Reported'!Q35/'Interim Balance Sheet US$'!Q$7</f>
        <v>299.7135091456696</v>
      </c>
      <c r="R35" s="58">
        <f>'Interim Balance Sheet Reported'!R35/'Interim Balance Sheet US$'!R$7</f>
        <v>0</v>
      </c>
      <c r="S35" s="58">
        <f>'Interim Balance Sheet Reported'!S35/'Interim Balance Sheet US$'!S$7</f>
        <v>0</v>
      </c>
      <c r="T35" s="58">
        <f>'Interim Balance Sheet Reported'!T35/'Interim Balance Sheet US$'!T$7</f>
        <v>0</v>
      </c>
      <c r="U35" s="58">
        <f>'Interim Balance Sheet Reported'!U35/'Interim Balance Sheet US$'!U$7</f>
        <v>451.88606620477293</v>
      </c>
      <c r="V35" s="58">
        <f>'Interim Balance Sheet Reported'!V35/'Interim Balance Sheet US$'!V$7</f>
        <v>0</v>
      </c>
      <c r="W35" s="58">
        <f>'Interim Balance Sheet Reported'!W35/'Interim Balance Sheet US$'!W$7</f>
        <v>0</v>
      </c>
      <c r="X35" s="58">
        <f>'Interim Balance Sheet Reported'!X35/'Interim Balance Sheet US$'!X$7</f>
        <v>0</v>
      </c>
      <c r="Y35" s="58">
        <f>'Interim Balance Sheet Reported'!Y35/'Interim Balance Sheet US$'!Y$7</f>
        <v>933.86382403723439</v>
      </c>
      <c r="Z35" s="58">
        <f>'Interim Balance Sheet Reported'!Z35/'Interim Balance Sheet US$'!Z$7</f>
        <v>435.37090098694682</v>
      </c>
      <c r="AA35" s="58">
        <f>'Interim Balance Sheet Reported'!AA35/'Interim Balance Sheet US$'!AA$7</f>
        <v>422.71700548564053</v>
      </c>
      <c r="AB35" s="58">
        <f>'Interim Balance Sheet Reported'!AB35/'Interim Balance Sheet US$'!AB$7</f>
        <v>408.38852097130246</v>
      </c>
    </row>
    <row r="36" spans="1:28" x14ac:dyDescent="0.3">
      <c r="A36" s="85" t="s">
        <v>93</v>
      </c>
      <c r="B36" s="58">
        <f>'Interim Balance Sheet Reported'!B36/'Interim Balance Sheet US$'!B$7</f>
        <v>435.43072336419272</v>
      </c>
      <c r="C36" s="58">
        <f>'Interim Balance Sheet Reported'!C36/'Interim Balance Sheet US$'!C$7</f>
        <v>426.45989823116065</v>
      </c>
      <c r="D36" s="58">
        <f>'Interim Balance Sheet Reported'!D36/'Interim Balance Sheet US$'!D$7</f>
        <v>419.49690229155777</v>
      </c>
      <c r="E36" s="58">
        <f>'Interim Balance Sheet Reported'!E36/'Interim Balance Sheet US$'!E$7</f>
        <v>378.40659999999997</v>
      </c>
      <c r="F36" s="58">
        <f>'Interim Balance Sheet Reported'!F36/'Interim Balance Sheet US$'!F$7</f>
        <v>352.81401991816563</v>
      </c>
      <c r="G36" s="58">
        <f>'Interim Balance Sheet Reported'!G36/'Interim Balance Sheet US$'!G$7</f>
        <v>424.65965346534654</v>
      </c>
      <c r="H36" s="58">
        <f>'Interim Balance Sheet Reported'!H36/'Interim Balance Sheet US$'!H$7</f>
        <v>477.64150224727661</v>
      </c>
      <c r="I36" s="58">
        <f>'Interim Balance Sheet Reported'!I36/'Interim Balance Sheet US$'!I$7</f>
        <v>526.6294227188082</v>
      </c>
      <c r="J36" s="58">
        <f>'Interim Balance Sheet Reported'!J36/'Interim Balance Sheet US$'!J$7</f>
        <v>619.46238173899997</v>
      </c>
      <c r="K36" s="58">
        <f>'Interim Balance Sheet Reported'!K36/'Interim Balance Sheet US$'!K$7</f>
        <v>654.49353772167115</v>
      </c>
      <c r="L36" s="58">
        <f>'Interim Balance Sheet Reported'!L36/'Interim Balance Sheet US$'!L$7</f>
        <v>604.74992135891785</v>
      </c>
      <c r="M36" s="58">
        <f>'Interim Balance Sheet Reported'!M36/'Interim Balance Sheet US$'!M$7</f>
        <v>533.76819664306743</v>
      </c>
      <c r="N36" s="58">
        <f>'Interim Balance Sheet Reported'!N36/'Interim Balance Sheet US$'!N$7</f>
        <v>480.62015503875966</v>
      </c>
      <c r="O36" s="58">
        <f>'Interim Balance Sheet Reported'!O36/'Interim Balance Sheet US$'!O$7</f>
        <v>335.7825408307001</v>
      </c>
      <c r="P36" s="58">
        <f>'Interim Balance Sheet Reported'!P36/'Interim Balance Sheet US$'!P$7</f>
        <v>334.67616981716765</v>
      </c>
      <c r="Q36" s="58">
        <f>'Interim Balance Sheet Reported'!Q36/'Interim Balance Sheet US$'!Q$7</f>
        <v>470.13883787556011</v>
      </c>
      <c r="R36" s="58">
        <f>'Interim Balance Sheet Reported'!R36/'Interim Balance Sheet US$'!R$7</f>
        <v>960.37156341298976</v>
      </c>
      <c r="S36" s="58">
        <f>'Interim Balance Sheet Reported'!S36/'Interim Balance Sheet US$'!S$7</f>
        <v>953.79915998472711</v>
      </c>
      <c r="T36" s="58">
        <f>'Interim Balance Sheet Reported'!T36/'Interim Balance Sheet US$'!T$7</f>
        <v>939.52027067850895</v>
      </c>
      <c r="U36" s="58">
        <f>'Interim Balance Sheet Reported'!U36/'Interim Balance Sheet US$'!U$7</f>
        <v>485.7582755966128</v>
      </c>
      <c r="V36" s="58">
        <f>'Interim Balance Sheet Reported'!V36/'Interim Balance Sheet US$'!V$7</f>
        <v>738.79354717944841</v>
      </c>
      <c r="W36" s="58">
        <f>'Interim Balance Sheet Reported'!W36/'Interim Balance Sheet US$'!W$7</f>
        <v>2383.6181496758986</v>
      </c>
      <c r="X36" s="58">
        <f>'Interim Balance Sheet Reported'!X36/'Interim Balance Sheet US$'!X$7</f>
        <v>1502.1394790180916</v>
      </c>
      <c r="Y36" s="58">
        <f>'Interim Balance Sheet Reported'!Y36/'Interim Balance Sheet US$'!Y$7</f>
        <v>408.37774941821181</v>
      </c>
      <c r="Z36" s="58">
        <f>'Interim Balance Sheet Reported'!Z36/'Interim Balance Sheet US$'!Z$7</f>
        <v>861.98662846227319</v>
      </c>
      <c r="AA36" s="58">
        <f>'Interim Balance Sheet Reported'!AA36/'Interim Balance Sheet US$'!AA$7</f>
        <v>393.67537915456597</v>
      </c>
      <c r="AB36" s="58">
        <f>'Interim Balance Sheet Reported'!AB36/'Interim Balance Sheet US$'!AB$7</f>
        <v>391.83222958057394</v>
      </c>
    </row>
    <row r="37" spans="1:28" x14ac:dyDescent="0.3">
      <c r="A37" s="85" t="s">
        <v>94</v>
      </c>
      <c r="B37" s="58">
        <f>'Interim Balance Sheet Reported'!B37/'Interim Balance Sheet US$'!B$7</f>
        <v>0</v>
      </c>
      <c r="C37" s="58">
        <f>'Interim Balance Sheet Reported'!C37/'Interim Balance Sheet US$'!C$7</f>
        <v>0</v>
      </c>
      <c r="D37" s="58">
        <f>'Interim Balance Sheet Reported'!D37/'Interim Balance Sheet US$'!D$7</f>
        <v>0</v>
      </c>
      <c r="E37" s="58">
        <f>'Interim Balance Sheet Reported'!E37/'Interim Balance Sheet US$'!E$7</f>
        <v>0</v>
      </c>
      <c r="F37" s="58">
        <f>'Interim Balance Sheet Reported'!F37/'Interim Balance Sheet US$'!F$7</f>
        <v>0</v>
      </c>
      <c r="G37" s="58">
        <f>'Interim Balance Sheet Reported'!G37/'Interim Balance Sheet US$'!G$7</f>
        <v>0</v>
      </c>
      <c r="H37" s="58">
        <f>'Interim Balance Sheet Reported'!H37/'Interim Balance Sheet US$'!H$7</f>
        <v>0</v>
      </c>
      <c r="I37" s="58">
        <f>'Interim Balance Sheet Reported'!I37/'Interim Balance Sheet US$'!I$7</f>
        <v>0</v>
      </c>
      <c r="J37" s="58">
        <f>'Interim Balance Sheet Reported'!J37/'Interim Balance Sheet US$'!J$7</f>
        <v>0</v>
      </c>
      <c r="K37" s="58">
        <f>'Interim Balance Sheet Reported'!K37/'Interim Balance Sheet US$'!K$7</f>
        <v>0</v>
      </c>
      <c r="L37" s="58">
        <f>'Interim Balance Sheet Reported'!L37/'Interim Balance Sheet US$'!L$7</f>
        <v>0</v>
      </c>
      <c r="M37" s="58">
        <f>'Interim Balance Sheet Reported'!M37/'Interim Balance Sheet US$'!M$7</f>
        <v>0</v>
      </c>
      <c r="N37" s="58">
        <f>'Interim Balance Sheet Reported'!N37/'Interim Balance Sheet US$'!N$7</f>
        <v>0</v>
      </c>
      <c r="O37" s="58">
        <f>'Interim Balance Sheet Reported'!O37/'Interim Balance Sheet US$'!O$7</f>
        <v>0</v>
      </c>
      <c r="P37" s="58">
        <f>'Interim Balance Sheet Reported'!P37/'Interim Balance Sheet US$'!P$7</f>
        <v>0</v>
      </c>
      <c r="Q37" s="58">
        <f>'Interim Balance Sheet Reported'!Q37/'Interim Balance Sheet US$'!Q$7</f>
        <v>0</v>
      </c>
      <c r="R37" s="58">
        <f>'Interim Balance Sheet Reported'!R37/'Interim Balance Sheet US$'!R$7</f>
        <v>0</v>
      </c>
      <c r="S37" s="58">
        <f>'Interim Balance Sheet Reported'!S37/'Interim Balance Sheet US$'!S$7</f>
        <v>0</v>
      </c>
      <c r="T37" s="58">
        <f>'Interim Balance Sheet Reported'!T37/'Interim Balance Sheet US$'!T$7</f>
        <v>0</v>
      </c>
      <c r="U37" s="58">
        <f>'Interim Balance Sheet Reported'!U37/'Interim Balance Sheet US$'!U$7</f>
        <v>0</v>
      </c>
      <c r="V37" s="58">
        <f>'Interim Balance Sheet Reported'!V37/'Interim Balance Sheet US$'!V$7</f>
        <v>0</v>
      </c>
      <c r="W37" s="58">
        <f>'Interim Balance Sheet Reported'!W37/'Interim Balance Sheet US$'!W$7</f>
        <v>0</v>
      </c>
      <c r="X37" s="58">
        <f>'Interim Balance Sheet Reported'!X37/'Interim Balance Sheet US$'!X$7</f>
        <v>0</v>
      </c>
      <c r="Y37" s="58">
        <f>'Interim Balance Sheet Reported'!Y37/'Interim Balance Sheet US$'!Y$7</f>
        <v>0</v>
      </c>
      <c r="Z37" s="58">
        <f>'Interim Balance Sheet Reported'!Z37/'Interim Balance Sheet US$'!Z$7</f>
        <v>0</v>
      </c>
      <c r="AA37" s="58">
        <f>'Interim Balance Sheet Reported'!AA37/'Interim Balance Sheet US$'!AA$7</f>
        <v>0</v>
      </c>
      <c r="AB37" s="58">
        <f>'Interim Balance Sheet Reported'!AB37/'Interim Balance Sheet US$'!AB$7</f>
        <v>0</v>
      </c>
    </row>
    <row r="38" spans="1:28" x14ac:dyDescent="0.3">
      <c r="A38" s="85" t="s">
        <v>95</v>
      </c>
      <c r="B38" s="58">
        <f>'Interim Balance Sheet Reported'!B38/'Interim Balance Sheet US$'!B$7</f>
        <v>1154.8721167425074</v>
      </c>
      <c r="C38" s="58">
        <f>'Interim Balance Sheet Reported'!C38/'Interim Balance Sheet US$'!C$7</f>
        <v>1149.3417333010259</v>
      </c>
      <c r="D38" s="58">
        <f>'Interim Balance Sheet Reported'!D38/'Interim Balance Sheet US$'!D$7</f>
        <v>1083.8247368813913</v>
      </c>
      <c r="E38" s="58">
        <f>'Interim Balance Sheet Reported'!E38/'Interim Balance Sheet US$'!E$7</f>
        <v>1073.8370499999999</v>
      </c>
      <c r="F38" s="58">
        <f>'Interim Balance Sheet Reported'!F38/'Interim Balance Sheet US$'!F$7</f>
        <v>1369.5668956998377</v>
      </c>
      <c r="G38" s="58">
        <f>'Interim Balance Sheet Reported'!G38/'Interim Balance Sheet US$'!G$7</f>
        <v>1318.8428217821784</v>
      </c>
      <c r="H38" s="58">
        <f>'Interim Balance Sheet Reported'!H38/'Interim Balance Sheet US$'!H$7</f>
        <v>1334.6537670450218</v>
      </c>
      <c r="I38" s="58">
        <f>'Interim Balance Sheet Reported'!I38/'Interim Balance Sheet US$'!I$7</f>
        <v>1224.5810055865923</v>
      </c>
      <c r="J38" s="58">
        <f>'Interim Balance Sheet Reported'!J38/'Interim Balance Sheet US$'!J$7</f>
        <v>1316.2637032587477</v>
      </c>
      <c r="K38" s="58">
        <f>'Interim Balance Sheet Reported'!K38/'Interim Balance Sheet US$'!K$7</f>
        <v>1258.6414186955215</v>
      </c>
      <c r="L38" s="58">
        <f>'Interim Balance Sheet Reported'!L38/'Interim Balance Sheet US$'!L$7</f>
        <v>1492.6077382824787</v>
      </c>
      <c r="M38" s="58">
        <f>'Interim Balance Sheet Reported'!M38/'Interim Balance Sheet US$'!M$7</f>
        <v>1559.9395433935249</v>
      </c>
      <c r="N38" s="58">
        <f>'Interim Balance Sheet Reported'!N38/'Interim Balance Sheet US$'!N$7</f>
        <v>1593.0232558139535</v>
      </c>
      <c r="O38" s="58">
        <f>'Interim Balance Sheet Reported'!O38/'Interim Balance Sheet US$'!O$7</f>
        <v>1480.9456732782578</v>
      </c>
      <c r="P38" s="58">
        <f>'Interim Balance Sheet Reported'!P38/'Interim Balance Sheet US$'!P$7</f>
        <v>1572.6681127982647</v>
      </c>
      <c r="Q38" s="58">
        <f>'Interim Balance Sheet Reported'!Q38/'Interim Balance Sheet US$'!Q$7</f>
        <v>1403.8051862190553</v>
      </c>
      <c r="R38" s="58">
        <f>'Interim Balance Sheet Reported'!R38/'Interim Balance Sheet US$'!R$7</f>
        <v>1768.6718106225185</v>
      </c>
      <c r="S38" s="58">
        <f>'Interim Balance Sheet Reported'!S38/'Interim Balance Sheet US$'!S$7</f>
        <v>1835.8151966399391</v>
      </c>
      <c r="T38" s="58">
        <f>'Interim Balance Sheet Reported'!T38/'Interim Balance Sheet US$'!T$7</f>
        <v>1882.0615068575919</v>
      </c>
      <c r="U38" s="58">
        <f>'Interim Balance Sheet Reported'!U38/'Interim Balance Sheet US$'!U$7</f>
        <v>1890.6851424172442</v>
      </c>
      <c r="V38" s="58">
        <f>'Interim Balance Sheet Reported'!V38/'Interim Balance Sheet US$'!V$7</f>
        <v>1600.8374080781912</v>
      </c>
      <c r="W38" s="58">
        <f>'Interim Balance Sheet Reported'!W38/'Interim Balance Sheet US$'!W$7</f>
        <v>1494.5492044784914</v>
      </c>
      <c r="X38" s="58">
        <f>'Interim Balance Sheet Reported'!X38/'Interim Balance Sheet US$'!X$7</f>
        <v>1679.3033556039336</v>
      </c>
      <c r="Y38" s="58">
        <f>'Interim Balance Sheet Reported'!Y38/'Interim Balance Sheet US$'!Y$7</f>
        <v>1850.4616770512723</v>
      </c>
      <c r="Z38" s="58">
        <f>'Interim Balance Sheet Reported'!Z38/'Interim Balance Sheet US$'!Z$7</f>
        <v>1805.9535179879019</v>
      </c>
      <c r="AA38" s="58">
        <f>'Interim Balance Sheet Reported'!AA38/'Interim Balance Sheet US$'!AA$7</f>
        <v>1694.9015811552113</v>
      </c>
      <c r="AB38" s="58">
        <f>'Interim Balance Sheet Reported'!AB38/'Interim Balance Sheet US$'!AB$7</f>
        <v>1845.6322926521602</v>
      </c>
    </row>
    <row r="39" spans="1:28" x14ac:dyDescent="0.3">
      <c r="A39" s="85" t="s">
        <v>96</v>
      </c>
      <c r="B39" s="58">
        <f>'Interim Balance Sheet Reported'!B39/'Interim Balance Sheet US$'!B$7</f>
        <v>0</v>
      </c>
      <c r="C39" s="58">
        <f>'Interim Balance Sheet Reported'!C39/'Interim Balance Sheet US$'!C$7</f>
        <v>0</v>
      </c>
      <c r="D39" s="58">
        <f>'Interim Balance Sheet Reported'!D39/'Interim Balance Sheet US$'!D$7</f>
        <v>0</v>
      </c>
      <c r="E39" s="58">
        <f>'Interim Balance Sheet Reported'!E39/'Interim Balance Sheet US$'!E$7</f>
        <v>0</v>
      </c>
      <c r="F39" s="58">
        <f>'Interim Balance Sheet Reported'!F39/'Interim Balance Sheet US$'!F$7</f>
        <v>0</v>
      </c>
      <c r="G39" s="58">
        <f>'Interim Balance Sheet Reported'!G39/'Interim Balance Sheet US$'!G$7</f>
        <v>0</v>
      </c>
      <c r="H39" s="58">
        <f>'Interim Balance Sheet Reported'!H39/'Interim Balance Sheet US$'!H$7</f>
        <v>0</v>
      </c>
      <c r="I39" s="58">
        <f>'Interim Balance Sheet Reported'!I39/'Interim Balance Sheet US$'!I$7</f>
        <v>0</v>
      </c>
      <c r="J39" s="58">
        <f>'Interim Balance Sheet Reported'!J39/'Interim Balance Sheet US$'!J$7</f>
        <v>0</v>
      </c>
      <c r="K39" s="58">
        <f>'Interim Balance Sheet Reported'!K39/'Interim Balance Sheet US$'!K$7</f>
        <v>0</v>
      </c>
      <c r="L39" s="58">
        <f>'Interim Balance Sheet Reported'!L39/'Interim Balance Sheet US$'!L$7</f>
        <v>0</v>
      </c>
      <c r="M39" s="58">
        <f>'Interim Balance Sheet Reported'!M39/'Interim Balance Sheet US$'!M$7</f>
        <v>0</v>
      </c>
      <c r="N39" s="58">
        <f>'Interim Balance Sheet Reported'!N39/'Interim Balance Sheet US$'!N$7</f>
        <v>0</v>
      </c>
      <c r="O39" s="58">
        <f>'Interim Balance Sheet Reported'!O39/'Interim Balance Sheet US$'!O$7</f>
        <v>0</v>
      </c>
      <c r="P39" s="58">
        <f>'Interim Balance Sheet Reported'!P39/'Interim Balance Sheet US$'!P$7</f>
        <v>0</v>
      </c>
      <c r="Q39" s="58">
        <f>'Interim Balance Sheet Reported'!Q39/'Interim Balance Sheet US$'!Q$7</f>
        <v>0</v>
      </c>
      <c r="R39" s="58">
        <f>'Interim Balance Sheet Reported'!R39/'Interim Balance Sheet US$'!R$7</f>
        <v>789.57225260319126</v>
      </c>
      <c r="S39" s="58">
        <f>'Interim Balance Sheet Reported'!S39/'Interim Balance Sheet US$'!S$7</f>
        <v>834.6697212676595</v>
      </c>
      <c r="T39" s="58">
        <f>'Interim Balance Sheet Reported'!T39/'Interim Balance Sheet US$'!T$7</f>
        <v>875.32475379131176</v>
      </c>
      <c r="U39" s="58">
        <f>'Interim Balance Sheet Reported'!U39/'Interim Balance Sheet US$'!U$7</f>
        <v>0</v>
      </c>
      <c r="V39" s="58">
        <f>'Interim Balance Sheet Reported'!V39/'Interim Balance Sheet US$'!V$7</f>
        <v>0</v>
      </c>
      <c r="W39" s="58">
        <f>'Interim Balance Sheet Reported'!W39/'Interim Balance Sheet US$'!W$7</f>
        <v>0</v>
      </c>
      <c r="X39" s="58">
        <f>'Interim Balance Sheet Reported'!X39/'Interim Balance Sheet US$'!X$7</f>
        <v>507.46940920351324</v>
      </c>
      <c r="Y39" s="58">
        <f>'Interim Balance Sheet Reported'!Y39/'Interim Balance Sheet US$'!Y$7</f>
        <v>429.39719240297273</v>
      </c>
      <c r="Z39" s="58">
        <f>'Interim Balance Sheet Reported'!Z39/'Interim Balance Sheet US$'!Z$7</f>
        <v>528.49411015600128</v>
      </c>
      <c r="AA39" s="58">
        <f>'Interim Balance Sheet Reported'!AA39/'Interim Balance Sheet US$'!AA$7</f>
        <v>656.66343981929651</v>
      </c>
      <c r="AB39" s="58">
        <f>'Interim Balance Sheet Reported'!AB39/'Interim Balance Sheet US$'!AB$7</f>
        <v>678.80794701986758</v>
      </c>
    </row>
    <row r="40" spans="1:28" x14ac:dyDescent="0.3">
      <c r="A40" s="85" t="s">
        <v>97</v>
      </c>
      <c r="B40" s="58">
        <f>'Interim Balance Sheet Reported'!B40/'Interim Balance Sheet US$'!B$7</f>
        <v>1736.2309744233485</v>
      </c>
      <c r="C40" s="58">
        <f>'Interim Balance Sheet Reported'!C40/'Interim Balance Sheet US$'!C$7</f>
        <v>1934.4156368629351</v>
      </c>
      <c r="D40" s="58">
        <f>'Interim Balance Sheet Reported'!D40/'Interim Balance Sheet US$'!D$7</f>
        <v>1374.1882511009926</v>
      </c>
      <c r="E40" s="58">
        <f>'Interim Balance Sheet Reported'!E40/'Interim Balance Sheet US$'!E$7</f>
        <v>1312.8686999999998</v>
      </c>
      <c r="F40" s="58">
        <f>'Interim Balance Sheet Reported'!F40/'Interim Balance Sheet US$'!F$7</f>
        <v>1781.0545819501272</v>
      </c>
      <c r="G40" s="58">
        <f>'Interim Balance Sheet Reported'!G40/'Interim Balance Sheet US$'!G$7</f>
        <v>2085.3960396039606</v>
      </c>
      <c r="H40" s="58">
        <f>'Interim Balance Sheet Reported'!H40/'Interim Balance Sheet US$'!H$7</f>
        <v>1511.3887407633122</v>
      </c>
      <c r="I40" s="58">
        <f>'Interim Balance Sheet Reported'!I40/'Interim Balance Sheet US$'!I$7</f>
        <v>1544.1340782122904</v>
      </c>
      <c r="J40" s="58">
        <f>'Interim Balance Sheet Reported'!J40/'Interim Balance Sheet US$'!J$7</f>
        <v>2014.5667517645295</v>
      </c>
      <c r="K40" s="58">
        <f>'Interim Balance Sheet Reported'!K40/'Interim Balance Sheet US$'!K$7</f>
        <v>2357.9801623083858</v>
      </c>
      <c r="L40" s="58">
        <f>'Interim Balance Sheet Reported'!L40/'Interim Balance Sheet US$'!L$7</f>
        <v>1848.0654293803082</v>
      </c>
      <c r="M40" s="58">
        <f>'Interim Balance Sheet Reported'!M40/'Interim Balance Sheet US$'!M$7</f>
        <v>1931.4294805504735</v>
      </c>
      <c r="N40" s="58">
        <f>'Interim Balance Sheet Reported'!N40/'Interim Balance Sheet US$'!N$7</f>
        <v>2357.3643410852715</v>
      </c>
      <c r="O40" s="58">
        <f>'Interim Balance Sheet Reported'!O40/'Interim Balance Sheet US$'!O$7</f>
        <v>2687.7831499600256</v>
      </c>
      <c r="P40" s="58">
        <f>'Interim Balance Sheet Reported'!P40/'Interim Balance Sheet US$'!P$7</f>
        <v>2137.4341493647353</v>
      </c>
      <c r="Q40" s="58">
        <f>'Interim Balance Sheet Reported'!Q40/'Interim Balance Sheet US$'!Q$7</f>
        <v>1995.886285168589</v>
      </c>
      <c r="R40" s="58">
        <f>'Interim Balance Sheet Reported'!R40/'Interim Balance Sheet US$'!R$7</f>
        <v>2475.091767173571</v>
      </c>
      <c r="S40" s="58">
        <f>'Interim Balance Sheet Reported'!S40/'Interim Balance Sheet US$'!S$7</f>
        <v>2847.6517754868273</v>
      </c>
      <c r="T40" s="58">
        <f>'Interim Balance Sheet Reported'!T40/'Interim Balance Sheet US$'!T$7</f>
        <v>2222.6753670473086</v>
      </c>
      <c r="U40" s="58">
        <f>'Interim Balance Sheet Reported'!U40/'Interim Balance Sheet US$'!U$7</f>
        <v>3157.0438799076214</v>
      </c>
      <c r="V40" s="58">
        <f>'Interim Balance Sheet Reported'!V40/'Interim Balance Sheet US$'!V$7</f>
        <v>2213.5473009930743</v>
      </c>
      <c r="W40" s="58">
        <f>'Interim Balance Sheet Reported'!W40/'Interim Balance Sheet US$'!W$7</f>
        <v>2290.0707130229821</v>
      </c>
      <c r="X40" s="58">
        <f>'Interim Balance Sheet Reported'!X40/'Interim Balance Sheet US$'!X$7</f>
        <v>1743.1123789505291</v>
      </c>
      <c r="Y40" s="58">
        <f>'Interim Balance Sheet Reported'!Y40/'Interim Balance Sheet US$'!Y$7</f>
        <v>1737.1068238120261</v>
      </c>
      <c r="Z40" s="58">
        <f>'Interim Balance Sheet Reported'!Z40/'Interim Balance Sheet US$'!Z$7</f>
        <v>1860.0764087870105</v>
      </c>
      <c r="AA40" s="58">
        <f>'Interim Balance Sheet Reported'!AA40/'Interim Balance Sheet US$'!AA$7</f>
        <v>1386.7376573088093</v>
      </c>
      <c r="AB40" s="58">
        <f>'Interim Balance Sheet Reported'!AB40/'Interim Balance Sheet US$'!AB$7</f>
        <v>1523.17880794702</v>
      </c>
    </row>
    <row r="41" spans="1:28" x14ac:dyDescent="0.3">
      <c r="A41" s="85" t="s">
        <v>98</v>
      </c>
      <c r="B41" s="58">
        <f>'Interim Balance Sheet Reported'!B41/'Interim Balance Sheet US$'!B$7</f>
        <v>0</v>
      </c>
      <c r="C41" s="58">
        <f>'Interim Balance Sheet Reported'!C41/'Interim Balance Sheet US$'!C$7</f>
        <v>0</v>
      </c>
      <c r="D41" s="58">
        <f>'Interim Balance Sheet Reported'!D41/'Interim Balance Sheet US$'!D$7</f>
        <v>0</v>
      </c>
      <c r="E41" s="58">
        <f>'Interim Balance Sheet Reported'!E41/'Interim Balance Sheet US$'!E$7</f>
        <v>0</v>
      </c>
      <c r="F41" s="58">
        <f>'Interim Balance Sheet Reported'!F41/'Interim Balance Sheet US$'!F$7</f>
        <v>0</v>
      </c>
      <c r="G41" s="58">
        <f>'Interim Balance Sheet Reported'!G41/'Interim Balance Sheet US$'!G$7</f>
        <v>0</v>
      </c>
      <c r="H41" s="58">
        <f>'Interim Balance Sheet Reported'!H41/'Interim Balance Sheet US$'!H$7</f>
        <v>0</v>
      </c>
      <c r="I41" s="58">
        <f>'Interim Balance Sheet Reported'!I41/'Interim Balance Sheet US$'!I$7</f>
        <v>0</v>
      </c>
      <c r="J41" s="58">
        <f>'Interim Balance Sheet Reported'!J41/'Interim Balance Sheet US$'!J$7</f>
        <v>0</v>
      </c>
      <c r="K41" s="58">
        <f>'Interim Balance Sheet Reported'!K41/'Interim Balance Sheet US$'!K$7</f>
        <v>0</v>
      </c>
      <c r="L41" s="58">
        <f>'Interim Balance Sheet Reported'!L41/'Interim Balance Sheet US$'!L$7</f>
        <v>0</v>
      </c>
      <c r="M41" s="58">
        <f>'Interim Balance Sheet Reported'!M41/'Interim Balance Sheet US$'!M$7</f>
        <v>0</v>
      </c>
      <c r="N41" s="58">
        <f>'Interim Balance Sheet Reported'!N41/'Interim Balance Sheet US$'!N$7</f>
        <v>0</v>
      </c>
      <c r="O41" s="58">
        <f>'Interim Balance Sheet Reported'!O41/'Interim Balance Sheet US$'!O$7</f>
        <v>0</v>
      </c>
      <c r="P41" s="58">
        <f>'Interim Balance Sheet Reported'!P41/'Interim Balance Sheet US$'!P$7</f>
        <v>0</v>
      </c>
      <c r="Q41" s="58">
        <f>'Interim Balance Sheet Reported'!Q41/'Interim Balance Sheet US$'!Q$7</f>
        <v>0</v>
      </c>
      <c r="R41" s="58">
        <f>'Interim Balance Sheet Reported'!R41/'Interim Balance Sheet US$'!R$7</f>
        <v>0</v>
      </c>
      <c r="S41" s="58">
        <f>'Interim Balance Sheet Reported'!S41/'Interim Balance Sheet US$'!S$7</f>
        <v>0</v>
      </c>
      <c r="T41" s="58">
        <f>'Interim Balance Sheet Reported'!T41/'Interim Balance Sheet US$'!T$7</f>
        <v>0</v>
      </c>
      <c r="U41" s="58">
        <f>'Interim Balance Sheet Reported'!U41/'Interim Balance Sheet US$'!U$7</f>
        <v>0</v>
      </c>
      <c r="V41" s="58">
        <f>'Interim Balance Sheet Reported'!V41/'Interim Balance Sheet US$'!V$7</f>
        <v>0</v>
      </c>
      <c r="W41" s="58">
        <f>'Interim Balance Sheet Reported'!W41/'Interim Balance Sheet US$'!W$7</f>
        <v>0</v>
      </c>
      <c r="X41" s="58">
        <f>'Interim Balance Sheet Reported'!X41/'Interim Balance Sheet US$'!X$7</f>
        <v>0</v>
      </c>
      <c r="Y41" s="58">
        <f>'Interim Balance Sheet Reported'!Y41/'Interim Balance Sheet US$'!Y$7</f>
        <v>0</v>
      </c>
      <c r="Z41" s="58">
        <f>'Interim Balance Sheet Reported'!Z41/'Interim Balance Sheet US$'!Z$7</f>
        <v>0</v>
      </c>
      <c r="AA41" s="58">
        <f>'Interim Balance Sheet Reported'!AA41/'Interim Balance Sheet US$'!AA$7</f>
        <v>0</v>
      </c>
      <c r="AB41" s="58">
        <f>'Interim Balance Sheet Reported'!AB41/'Interim Balance Sheet US$'!AB$7</f>
        <v>0</v>
      </c>
    </row>
    <row r="42" spans="1:28" x14ac:dyDescent="0.3">
      <c r="A42" s="85" t="s">
        <v>99</v>
      </c>
      <c r="B42" s="60">
        <f>'Interim Balance Sheet Reported'!B42/'Interim Balance Sheet US$'!B$7</f>
        <v>0</v>
      </c>
      <c r="C42" s="60">
        <f>'Interim Balance Sheet Reported'!C42/'Interim Balance Sheet US$'!C$7</f>
        <v>0</v>
      </c>
      <c r="D42" s="60">
        <f>'Interim Balance Sheet Reported'!D42/'Interim Balance Sheet US$'!D$7</f>
        <v>0</v>
      </c>
      <c r="E42" s="60">
        <f>'Interim Balance Sheet Reported'!E42/'Interim Balance Sheet US$'!E$7</f>
        <v>0</v>
      </c>
      <c r="F42" s="60">
        <f>'Interim Balance Sheet Reported'!F42/'Interim Balance Sheet US$'!F$7</f>
        <v>0</v>
      </c>
      <c r="G42" s="60">
        <f>'Interim Balance Sheet Reported'!G42/'Interim Balance Sheet US$'!G$7</f>
        <v>0</v>
      </c>
      <c r="H42" s="60">
        <f>'Interim Balance Sheet Reported'!H42/'Interim Balance Sheet US$'!H$7</f>
        <v>0</v>
      </c>
      <c r="I42" s="60">
        <f>'Interim Balance Sheet Reported'!I42/'Interim Balance Sheet US$'!I$7</f>
        <v>0</v>
      </c>
      <c r="J42" s="60">
        <f>'Interim Balance Sheet Reported'!J42/'Interim Balance Sheet US$'!J$7</f>
        <v>0</v>
      </c>
      <c r="K42" s="60">
        <f>'Interim Balance Sheet Reported'!K42/'Interim Balance Sheet US$'!K$7</f>
        <v>0</v>
      </c>
      <c r="L42" s="60">
        <f>'Interim Balance Sheet Reported'!L42/'Interim Balance Sheet US$'!L$7</f>
        <v>0</v>
      </c>
      <c r="M42" s="60">
        <f>'Interim Balance Sheet Reported'!M42/'Interim Balance Sheet US$'!M$7</f>
        <v>0</v>
      </c>
      <c r="N42" s="60">
        <f>'Interim Balance Sheet Reported'!N42/'Interim Balance Sheet US$'!N$7</f>
        <v>0</v>
      </c>
      <c r="O42" s="60">
        <f>'Interim Balance Sheet Reported'!O42/'Interim Balance Sheet US$'!O$7</f>
        <v>0</v>
      </c>
      <c r="P42" s="60">
        <f>'Interim Balance Sheet Reported'!P42/'Interim Balance Sheet US$'!P$7</f>
        <v>0</v>
      </c>
      <c r="Q42" s="60">
        <f>'Interim Balance Sheet Reported'!Q42/'Interim Balance Sheet US$'!Q$7</f>
        <v>0</v>
      </c>
      <c r="R42" s="60">
        <f>'Interim Balance Sheet Reported'!R42/'Interim Balance Sheet US$'!R$7</f>
        <v>0</v>
      </c>
      <c r="S42" s="60">
        <f>'Interim Balance Sheet Reported'!S42/'Interim Balance Sheet US$'!S$7</f>
        <v>0</v>
      </c>
      <c r="T42" s="60">
        <f>'Interim Balance Sheet Reported'!T42/'Interim Balance Sheet US$'!T$7</f>
        <v>0</v>
      </c>
      <c r="U42" s="60">
        <f>'Interim Balance Sheet Reported'!U42/'Interim Balance Sheet US$'!U$7</f>
        <v>0</v>
      </c>
      <c r="V42" s="60">
        <f>'Interim Balance Sheet Reported'!V42/'Interim Balance Sheet US$'!V$7</f>
        <v>0</v>
      </c>
      <c r="W42" s="60">
        <f>'Interim Balance Sheet Reported'!W42/'Interim Balance Sheet US$'!W$7</f>
        <v>0</v>
      </c>
      <c r="X42" s="60">
        <f>'Interim Balance Sheet Reported'!X42/'Interim Balance Sheet US$'!X$7</f>
        <v>0</v>
      </c>
      <c r="Y42" s="60">
        <f>'Interim Balance Sheet Reported'!Y42/'Interim Balance Sheet US$'!Y$7</f>
        <v>0</v>
      </c>
      <c r="Z42" s="60">
        <f>'Interim Balance Sheet Reported'!Z42/'Interim Balance Sheet US$'!Z$7</f>
        <v>0</v>
      </c>
      <c r="AA42" s="60">
        <f>'Interim Balance Sheet Reported'!AA42/'Interim Balance Sheet US$'!AA$7</f>
        <v>0</v>
      </c>
      <c r="AB42" s="60">
        <f>'Interim Balance Sheet Reported'!AB42/'Interim Balance Sheet US$'!AB$7</f>
        <v>0</v>
      </c>
    </row>
    <row r="43" spans="1:28" x14ac:dyDescent="0.3">
      <c r="A43" s="14" t="s">
        <v>100</v>
      </c>
      <c r="B43" s="22">
        <f>SUM(B35:B42)</f>
        <v>3326.5338145300484</v>
      </c>
      <c r="C43" s="22">
        <f>SUM(C35:C42)</f>
        <v>3510.2172683951217</v>
      </c>
      <c r="D43" s="22">
        <f t="shared" ref="D43:I43" si="29">SUM(D35:D42)</f>
        <v>2877.5098902739419</v>
      </c>
      <c r="E43" s="22">
        <f t="shared" si="29"/>
        <v>2765.1123499999994</v>
      </c>
      <c r="F43" s="22">
        <f t="shared" si="29"/>
        <v>3503.4354975681304</v>
      </c>
      <c r="G43" s="22">
        <f t="shared" si="29"/>
        <v>3828.8985148514857</v>
      </c>
      <c r="H43" s="22">
        <f t="shared" si="29"/>
        <v>3323.6840100556105</v>
      </c>
      <c r="I43" s="22">
        <f t="shared" si="29"/>
        <v>3295.3445065176911</v>
      </c>
      <c r="J43" s="22">
        <f>SUM(J35:J42)</f>
        <v>3950.2928367622771</v>
      </c>
      <c r="K43" s="22">
        <f>SUM(K35:K42)</f>
        <v>4271.1151187255782</v>
      </c>
      <c r="L43" s="22">
        <f>SUM(L35:L42)</f>
        <v>3945.423089021705</v>
      </c>
      <c r="M43" s="22">
        <f>SUM(M35:M42)</f>
        <v>4025.1372205870657</v>
      </c>
      <c r="N43" s="22">
        <f t="shared" ref="N43" si="30">SUM(N35:N42)</f>
        <v>4431.0077519379847</v>
      </c>
      <c r="O43" s="22">
        <f>SUM(O35:O42)</f>
        <v>4504.5113640689833</v>
      </c>
      <c r="P43" s="22">
        <f>SUM(P35:P42)</f>
        <v>4044.7784319801676</v>
      </c>
      <c r="Q43" s="22">
        <f>SUM(Q35:Q42)</f>
        <v>4169.5438184088744</v>
      </c>
      <c r="R43" s="22">
        <f t="shared" ref="R43:S43" si="31">SUM(R35:R42)</f>
        <v>5993.7073938122703</v>
      </c>
      <c r="S43" s="22">
        <f t="shared" si="31"/>
        <v>6471.9358533791528</v>
      </c>
      <c r="T43" s="22">
        <f t="shared" ref="T43:U43" si="32">SUM(T35:T42)</f>
        <v>5919.5818983747213</v>
      </c>
      <c r="U43" s="22">
        <f t="shared" si="32"/>
        <v>5985.3733641262515</v>
      </c>
      <c r="V43" s="22">
        <f t="shared" ref="V43:Y43" si="33">SUM(V35:V42)</f>
        <v>4553.1782562507142</v>
      </c>
      <c r="W43" s="22">
        <f t="shared" si="33"/>
        <v>6168.2380671773717</v>
      </c>
      <c r="X43" s="22">
        <f t="shared" si="33"/>
        <v>5432.0246227760672</v>
      </c>
      <c r="Y43" s="22">
        <f t="shared" si="33"/>
        <v>5359.2072667217171</v>
      </c>
      <c r="Z43" s="22">
        <f t="shared" ref="Z43:AA43" si="34">SUM(Z35:Z42)</f>
        <v>5491.8815663801333</v>
      </c>
      <c r="AA43" s="22">
        <f t="shared" si="34"/>
        <v>4554.6950629235234</v>
      </c>
      <c r="AB43" s="22">
        <f t="shared" ref="AB43" si="35">SUM(AB35:AB42)</f>
        <v>4847.839798170924</v>
      </c>
    </row>
    <row r="44" spans="1:28" x14ac:dyDescent="0.3">
      <c r="A44" s="14" t="s">
        <v>254</v>
      </c>
      <c r="B44" s="22">
        <f t="shared" ref="B44:I44" si="36">B33-B43</f>
        <v>-74.533186882158589</v>
      </c>
      <c r="C44" s="22">
        <f t="shared" si="36"/>
        <v>-42.807527663355359</v>
      </c>
      <c r="D44" s="22">
        <f t="shared" si="36"/>
        <v>396.35739344629428</v>
      </c>
      <c r="E44" s="22">
        <f t="shared" si="36"/>
        <v>213.75640000000021</v>
      </c>
      <c r="F44" s="22">
        <f t="shared" si="36"/>
        <v>-197.63761290820639</v>
      </c>
      <c r="G44" s="22">
        <f t="shared" si="36"/>
        <v>-383.66336633663423</v>
      </c>
      <c r="H44" s="22">
        <f t="shared" si="36"/>
        <v>275.0057134150984</v>
      </c>
      <c r="I44" s="22">
        <f t="shared" si="36"/>
        <v>-57.355679702048292</v>
      </c>
      <c r="J44" s="22">
        <f>J33-J43</f>
        <v>-255.29358762576976</v>
      </c>
      <c r="K44" s="22">
        <f>K33-K43</f>
        <v>-228.43402464682868</v>
      </c>
      <c r="L44" s="22">
        <f>L33-L43</f>
        <v>368.82667505504833</v>
      </c>
      <c r="M44" s="22">
        <f>M33-M43</f>
        <v>188.52915440299148</v>
      </c>
      <c r="N44" s="22">
        <f t="shared" ref="N44" si="37">N33-N43</f>
        <v>203.10077519379774</v>
      </c>
      <c r="O44" s="22">
        <f>O33-O43</f>
        <v>501.00887044580759</v>
      </c>
      <c r="P44" s="22">
        <f>P33-P43</f>
        <v>1063.6814378679892</v>
      </c>
      <c r="Q44" s="22">
        <f>Q33-Q43</f>
        <v>459.11995886285149</v>
      </c>
      <c r="R44" s="22">
        <f t="shared" ref="R44:S44" si="38">R33-R43</f>
        <v>-409.7685219866662</v>
      </c>
      <c r="S44" s="22">
        <f t="shared" si="38"/>
        <v>-659.03016418480365</v>
      </c>
      <c r="T44" s="22">
        <f t="shared" ref="T44:U44" si="39">T33-T43</f>
        <v>-319.46710168569916</v>
      </c>
      <c r="U44" s="22">
        <f t="shared" si="39"/>
        <v>-199.38414164742153</v>
      </c>
      <c r="V44" s="22">
        <f t="shared" ref="V44:Y44" si="40">V33-V43</f>
        <v>602.08486587011521</v>
      </c>
      <c r="W44" s="22">
        <f t="shared" si="40"/>
        <v>1048.1732469063063</v>
      </c>
      <c r="X44" s="22">
        <f t="shared" si="40"/>
        <v>1131.2964492155243</v>
      </c>
      <c r="Y44" s="22">
        <f t="shared" si="40"/>
        <v>1150.0638090233479</v>
      </c>
      <c r="Z44" s="22">
        <f t="shared" ref="Z44:AA44" si="41">Z33-Z43</f>
        <v>177.49124482648858</v>
      </c>
      <c r="AA44" s="22">
        <f t="shared" si="41"/>
        <v>408.19619232010427</v>
      </c>
      <c r="AB44" s="22">
        <f t="shared" ref="AB44" si="42">AB33-AB43</f>
        <v>2924.9448123620296</v>
      </c>
    </row>
    <row r="45" spans="1:28" x14ac:dyDescent="0.3">
      <c r="A45" s="85" t="s">
        <v>101</v>
      </c>
      <c r="B45" s="58">
        <f>'Interim Balance Sheet Reported'!B45/'Interim Balance Sheet US$'!B$7</f>
        <v>4120.5083947905223</v>
      </c>
      <c r="C45" s="58">
        <f>'Interim Balance Sheet Reported'!C45/'Interim Balance Sheet US$'!C$7</f>
        <v>4113.5611016880703</v>
      </c>
      <c r="D45" s="58">
        <f>'Interim Balance Sheet Reported'!D45/'Interim Balance Sheet US$'!D$7</f>
        <v>4162.1258490706869</v>
      </c>
      <c r="E45" s="58">
        <f>'Interim Balance Sheet Reported'!E45/'Interim Balance Sheet US$'!E$7</f>
        <v>4239.0204999999996</v>
      </c>
      <c r="F45" s="58">
        <f>'Interim Balance Sheet Reported'!F45/'Interim Balance Sheet US$'!F$7</f>
        <v>4625.1833552072876</v>
      </c>
      <c r="G45" s="58">
        <f>'Interim Balance Sheet Reported'!G45/'Interim Balance Sheet US$'!G$7</f>
        <v>4951.2685643564355</v>
      </c>
      <c r="H45" s="58">
        <f>'Interim Balance Sheet Reported'!H45/'Interim Balance Sheet US$'!H$7</f>
        <v>4837.3581168583833</v>
      </c>
      <c r="I45" s="58">
        <f>'Interim Balance Sheet Reported'!I45/'Interim Balance Sheet US$'!I$7</f>
        <v>4402.9795158286779</v>
      </c>
      <c r="J45" s="58">
        <f>'Interim Balance Sheet Reported'!J45/'Interim Balance Sheet US$'!J$7</f>
        <v>4474.3955548881222</v>
      </c>
      <c r="K45" s="58">
        <f>'Interim Balance Sheet Reported'!K45/'Interim Balance Sheet US$'!K$7</f>
        <v>4428.9149383829272</v>
      </c>
      <c r="L45" s="58">
        <f>'Interim Balance Sheet Reported'!L45/'Interim Balance Sheet US$'!L$7</f>
        <v>4372.4441648317079</v>
      </c>
      <c r="M45" s="58">
        <f>'Interim Balance Sheet Reported'!M45/'Interim Balance Sheet US$'!M$7</f>
        <v>4333.7841062763509</v>
      </c>
      <c r="N45" s="58">
        <f>'Interim Balance Sheet Reported'!N45/'Interim Balance Sheet US$'!N$7</f>
        <v>4741.8604651162786</v>
      </c>
      <c r="O45" s="58">
        <f>'Interim Balance Sheet Reported'!O45/'Interim Balance Sheet US$'!O$7</f>
        <v>5000.1903529143028</v>
      </c>
      <c r="P45" s="58">
        <f>'Interim Balance Sheet Reported'!P45/'Interim Balance Sheet US$'!P$7</f>
        <v>4838.8596219398823</v>
      </c>
      <c r="Q45" s="58">
        <f>'Interim Balance Sheet Reported'!Q45/'Interim Balance Sheet US$'!Q$7</f>
        <v>4449.4233453316683</v>
      </c>
      <c r="R45" s="58">
        <f>'Interim Balance Sheet Reported'!R45/'Interim Balance Sheet US$'!R$7</f>
        <v>6303.093864708967</v>
      </c>
      <c r="S45" s="58">
        <f>'Interim Balance Sheet Reported'!S45/'Interim Balance Sheet US$'!S$7</f>
        <v>6263.4593356242849</v>
      </c>
      <c r="T45" s="58">
        <f>'Interim Balance Sheet Reported'!T45/'Interim Balance Sheet US$'!T$7</f>
        <v>6129.539000664613</v>
      </c>
      <c r="U45" s="58">
        <f>'Interim Balance Sheet Reported'!U45/'Interim Balance Sheet US$'!U$7</f>
        <v>4000</v>
      </c>
      <c r="V45" s="58">
        <f>'Interim Balance Sheet Reported'!V45/'Interim Balance Sheet US$'!V$7</f>
        <v>4152.9689042311657</v>
      </c>
      <c r="W45" s="58">
        <f>'Interim Balance Sheet Reported'!W45/'Interim Balance Sheet US$'!W$7</f>
        <v>5048.6152032999416</v>
      </c>
      <c r="X45" s="58">
        <f>'Interim Balance Sheet Reported'!X45/'Interim Balance Sheet US$'!X$7</f>
        <v>8378.5001126041589</v>
      </c>
      <c r="Y45" s="58">
        <f>'Interim Balance Sheet Reported'!Y45/'Interim Balance Sheet US$'!Y$7</f>
        <v>6117.4086029577356</v>
      </c>
      <c r="Z45" s="58">
        <f>'Interim Balance Sheet Reported'!Z45/'Interim Balance Sheet US$'!Z$7</f>
        <v>7449.8567335243551</v>
      </c>
      <c r="AA45" s="58">
        <f>'Interim Balance Sheet Reported'!AA45/'Interim Balance Sheet US$'!AA$7</f>
        <v>7670.2161987737982</v>
      </c>
      <c r="AB45" s="58">
        <f>'Interim Balance Sheet Reported'!AB45/'Interim Balance Sheet US$'!AB$7</f>
        <v>10138.757489750868</v>
      </c>
    </row>
    <row r="46" spans="1:28" x14ac:dyDescent="0.3">
      <c r="A46" s="85" t="s">
        <v>102</v>
      </c>
      <c r="B46" s="58">
        <f>'Interim Balance Sheet Reported'!B46/'Interim Balance Sheet US$'!B$7</f>
        <v>0</v>
      </c>
      <c r="C46" s="58">
        <f>'Interim Balance Sheet Reported'!C46/'Interim Balance Sheet US$'!C$7</f>
        <v>0</v>
      </c>
      <c r="D46" s="58">
        <f>'Interim Balance Sheet Reported'!D46/'Interim Balance Sheet US$'!D$7</f>
        <v>0</v>
      </c>
      <c r="E46" s="58">
        <f>'Interim Balance Sheet Reported'!E46/'Interim Balance Sheet US$'!E$7</f>
        <v>0</v>
      </c>
      <c r="F46" s="58">
        <f>'Interim Balance Sheet Reported'!F46/'Interim Balance Sheet US$'!F$7</f>
        <v>0</v>
      </c>
      <c r="G46" s="58">
        <f>'Interim Balance Sheet Reported'!G46/'Interim Balance Sheet US$'!G$7</f>
        <v>0</v>
      </c>
      <c r="H46" s="58">
        <f>'Interim Balance Sheet Reported'!H46/'Interim Balance Sheet US$'!H$7</f>
        <v>0</v>
      </c>
      <c r="I46" s="58">
        <f>'Interim Balance Sheet Reported'!I46/'Interim Balance Sheet US$'!I$7</f>
        <v>0</v>
      </c>
      <c r="J46" s="58">
        <f>'Interim Balance Sheet Reported'!J46/'Interim Balance Sheet US$'!J$7</f>
        <v>0</v>
      </c>
      <c r="K46" s="58">
        <f>'Interim Balance Sheet Reported'!K46/'Interim Balance Sheet US$'!K$7</f>
        <v>0</v>
      </c>
      <c r="L46" s="58">
        <f>'Interim Balance Sheet Reported'!L46/'Interim Balance Sheet US$'!L$7</f>
        <v>0</v>
      </c>
      <c r="M46" s="58">
        <f>'Interim Balance Sheet Reported'!M46/'Interim Balance Sheet US$'!M$7</f>
        <v>0</v>
      </c>
      <c r="N46" s="58">
        <f>'Interim Balance Sheet Reported'!N46/'Interim Balance Sheet US$'!N$7</f>
        <v>0</v>
      </c>
      <c r="O46" s="58">
        <f>'Interim Balance Sheet Reported'!O46/'Interim Balance Sheet US$'!O$7</f>
        <v>0</v>
      </c>
      <c r="P46" s="58">
        <f>'Interim Balance Sheet Reported'!P46/'Interim Balance Sheet US$'!P$7</f>
        <v>0</v>
      </c>
      <c r="Q46" s="58">
        <f>'Interim Balance Sheet Reported'!Q46/'Interim Balance Sheet US$'!Q$7</f>
        <v>2068.6108866524646</v>
      </c>
      <c r="R46" s="58">
        <f>'Interim Balance Sheet Reported'!R46/'Interim Balance Sheet US$'!R$7</f>
        <v>0</v>
      </c>
      <c r="S46" s="58">
        <f>'Interim Balance Sheet Reported'!S46/'Interim Balance Sheet US$'!S$7</f>
        <v>0</v>
      </c>
      <c r="T46" s="58">
        <f>'Interim Balance Sheet Reported'!T46/'Interim Balance Sheet US$'!T$7</f>
        <v>0</v>
      </c>
      <c r="U46" s="58">
        <f>'Interim Balance Sheet Reported'!U46/'Interim Balance Sheet US$'!U$7</f>
        <v>2177.0592763664358</v>
      </c>
      <c r="V46" s="58">
        <f>'Interim Balance Sheet Reported'!V46/'Interim Balance Sheet US$'!V$7</f>
        <v>2682.4651612354469</v>
      </c>
      <c r="W46" s="58">
        <f>'Interim Balance Sheet Reported'!W46/'Interim Balance Sheet US$'!W$7</f>
        <v>2647.3187978786095</v>
      </c>
      <c r="X46" s="58">
        <f>'Interim Balance Sheet Reported'!X46/'Interim Balance Sheet US$'!X$7</f>
        <v>0</v>
      </c>
      <c r="Y46" s="58">
        <f>'Interim Balance Sheet Reported'!Y46/'Interim Balance Sheet US$'!Y$7</f>
        <v>2291.1192853389384</v>
      </c>
      <c r="Z46" s="58">
        <f>'Interim Balance Sheet Reported'!Z46/'Interim Balance Sheet US$'!Z$7</f>
        <v>1402.4196115886662</v>
      </c>
      <c r="AA46" s="58">
        <f>'Interim Balance Sheet Reported'!AA46/'Interim Balance Sheet US$'!AA$7</f>
        <v>1795.7405614714423</v>
      </c>
      <c r="AB46" s="58">
        <f>'Interim Balance Sheet Reported'!AB46/'Interim Balance Sheet US$'!AB$7</f>
        <v>2213.0242825607065</v>
      </c>
    </row>
    <row r="47" spans="1:28" x14ac:dyDescent="0.3">
      <c r="A47" s="85" t="s">
        <v>103</v>
      </c>
      <c r="B47" s="58">
        <f>'Interim Balance Sheet Reported'!B47/'Interim Balance Sheet US$'!B$7</f>
        <v>0</v>
      </c>
      <c r="C47" s="58">
        <f>'Interim Balance Sheet Reported'!C47/'Interim Balance Sheet US$'!C$7</f>
        <v>0</v>
      </c>
      <c r="D47" s="58">
        <f>'Interim Balance Sheet Reported'!D47/'Interim Balance Sheet US$'!D$7</f>
        <v>0</v>
      </c>
      <c r="E47" s="58">
        <f>'Interim Balance Sheet Reported'!E47/'Interim Balance Sheet US$'!E$7</f>
        <v>0</v>
      </c>
      <c r="F47" s="58">
        <f>'Interim Balance Sheet Reported'!F47/'Interim Balance Sheet US$'!F$7</f>
        <v>0</v>
      </c>
      <c r="G47" s="58">
        <f>'Interim Balance Sheet Reported'!G47/'Interim Balance Sheet US$'!G$7</f>
        <v>0</v>
      </c>
      <c r="H47" s="58">
        <f>'Interim Balance Sheet Reported'!H47/'Interim Balance Sheet US$'!H$7</f>
        <v>0</v>
      </c>
      <c r="I47" s="58">
        <f>'Interim Balance Sheet Reported'!I47/'Interim Balance Sheet US$'!I$7</f>
        <v>0</v>
      </c>
      <c r="J47" s="58">
        <f>'Interim Balance Sheet Reported'!J47/'Interim Balance Sheet US$'!J$7</f>
        <v>0</v>
      </c>
      <c r="K47" s="58">
        <f>'Interim Balance Sheet Reported'!K47/'Interim Balance Sheet US$'!K$7</f>
        <v>0</v>
      </c>
      <c r="L47" s="58">
        <f>'Interim Balance Sheet Reported'!L47/'Interim Balance Sheet US$'!L$7</f>
        <v>0</v>
      </c>
      <c r="M47" s="58">
        <f>'Interim Balance Sheet Reported'!M47/'Interim Balance Sheet US$'!M$7</f>
        <v>0</v>
      </c>
      <c r="N47" s="58">
        <f>'Interim Balance Sheet Reported'!N47/'Interim Balance Sheet US$'!N$7</f>
        <v>0</v>
      </c>
      <c r="O47" s="58">
        <f>'Interim Balance Sheet Reported'!O47/'Interim Balance Sheet US$'!O$7</f>
        <v>0</v>
      </c>
      <c r="P47" s="58">
        <f>'Interim Balance Sheet Reported'!P47/'Interim Balance Sheet US$'!P$7</f>
        <v>0</v>
      </c>
      <c r="Q47" s="58">
        <f>'Interim Balance Sheet Reported'!Q47/'Interim Balance Sheet US$'!Q$7</f>
        <v>0</v>
      </c>
      <c r="R47" s="58">
        <f>'Interim Balance Sheet Reported'!R47/'Interim Balance Sheet US$'!R$7</f>
        <v>0</v>
      </c>
      <c r="S47" s="58">
        <f>'Interim Balance Sheet Reported'!S47/'Interim Balance Sheet US$'!S$7</f>
        <v>0</v>
      </c>
      <c r="T47" s="58">
        <f>'Interim Balance Sheet Reported'!T47/'Interim Balance Sheet US$'!T$7</f>
        <v>0</v>
      </c>
      <c r="U47" s="58">
        <f>'Interim Balance Sheet Reported'!U47/'Interim Balance Sheet US$'!U$7</f>
        <v>0</v>
      </c>
      <c r="V47" s="58">
        <f>'Interim Balance Sheet Reported'!V47/'Interim Balance Sheet US$'!V$7</f>
        <v>0</v>
      </c>
      <c r="W47" s="58">
        <f>'Interim Balance Sheet Reported'!W47/'Interim Balance Sheet US$'!W$7</f>
        <v>0</v>
      </c>
      <c r="X47" s="58">
        <f>'Interim Balance Sheet Reported'!X47/'Interim Balance Sheet US$'!X$7</f>
        <v>0</v>
      </c>
      <c r="Y47" s="58">
        <f>'Interim Balance Sheet Reported'!Y47/'Interim Balance Sheet US$'!Y$7</f>
        <v>0</v>
      </c>
      <c r="Z47" s="58">
        <f>'Interim Balance Sheet Reported'!Z47/'Interim Balance Sheet US$'!Z$7</f>
        <v>0</v>
      </c>
      <c r="AA47" s="58">
        <f>'Interim Balance Sheet Reported'!AA47/'Interim Balance Sheet US$'!AA$7</f>
        <v>0</v>
      </c>
      <c r="AB47" s="58">
        <f>'Interim Balance Sheet Reported'!AB47/'Interim Balance Sheet US$'!AB$7</f>
        <v>0</v>
      </c>
    </row>
    <row r="48" spans="1:28" x14ac:dyDescent="0.3">
      <c r="A48" s="85" t="s">
        <v>104</v>
      </c>
      <c r="B48" s="60">
        <f>'Interim Balance Sheet Reported'!B48/'Interim Balance Sheet US$'!B$7</f>
        <v>0</v>
      </c>
      <c r="C48" s="60">
        <f>'Interim Balance Sheet Reported'!C48/'Interim Balance Sheet US$'!C$7</f>
        <v>0</v>
      </c>
      <c r="D48" s="60">
        <f>'Interim Balance Sheet Reported'!D48/'Interim Balance Sheet US$'!D$7</f>
        <v>0</v>
      </c>
      <c r="E48" s="60">
        <f>'Interim Balance Sheet Reported'!E48/'Interim Balance Sheet US$'!E$7</f>
        <v>0</v>
      </c>
      <c r="F48" s="60">
        <f>'Interim Balance Sheet Reported'!F48/'Interim Balance Sheet US$'!F$7</f>
        <v>0</v>
      </c>
      <c r="G48" s="60">
        <f>'Interim Balance Sheet Reported'!G48/'Interim Balance Sheet US$'!G$7</f>
        <v>0</v>
      </c>
      <c r="H48" s="60">
        <f>'Interim Balance Sheet Reported'!H48/'Interim Balance Sheet US$'!H$7</f>
        <v>0</v>
      </c>
      <c r="I48" s="60">
        <f>'Interim Balance Sheet Reported'!I48/'Interim Balance Sheet US$'!I$7</f>
        <v>0</v>
      </c>
      <c r="J48" s="60">
        <f>'Interim Balance Sheet Reported'!J48/'Interim Balance Sheet US$'!J$7</f>
        <v>0</v>
      </c>
      <c r="K48" s="60">
        <f>'Interim Balance Sheet Reported'!K48/'Interim Balance Sheet US$'!K$7</f>
        <v>0</v>
      </c>
      <c r="L48" s="60">
        <f>'Interim Balance Sheet Reported'!L48/'Interim Balance Sheet US$'!L$7</f>
        <v>0</v>
      </c>
      <c r="M48" s="60">
        <f>'Interim Balance Sheet Reported'!M48/'Interim Balance Sheet US$'!M$7</f>
        <v>0</v>
      </c>
      <c r="N48" s="60">
        <f>'Interim Balance Sheet Reported'!N48/'Interim Balance Sheet US$'!N$7</f>
        <v>0</v>
      </c>
      <c r="O48" s="60">
        <f>'Interim Balance Sheet Reported'!O48/'Interim Balance Sheet US$'!O$7</f>
        <v>0</v>
      </c>
      <c r="P48" s="60">
        <f>'Interim Balance Sheet Reported'!P48/'Interim Balance Sheet US$'!P$7</f>
        <v>0</v>
      </c>
      <c r="Q48" s="60">
        <f>'Interim Balance Sheet Reported'!Q48/'Interim Balance Sheet US$'!Q$7</f>
        <v>0</v>
      </c>
      <c r="R48" s="60">
        <f>'Interim Balance Sheet Reported'!R48/'Interim Balance Sheet US$'!R$7</f>
        <v>0</v>
      </c>
      <c r="S48" s="60">
        <f>'Interim Balance Sheet Reported'!S48/'Interim Balance Sheet US$'!S$7</f>
        <v>0</v>
      </c>
      <c r="T48" s="60">
        <f>'Interim Balance Sheet Reported'!T48/'Interim Balance Sheet US$'!T$7</f>
        <v>0</v>
      </c>
      <c r="U48" s="60">
        <f>'Interim Balance Sheet Reported'!U48/'Interim Balance Sheet US$'!U$7</f>
        <v>0</v>
      </c>
      <c r="V48" s="60">
        <f>'Interim Balance Sheet Reported'!V48/'Interim Balance Sheet US$'!V$7</f>
        <v>0</v>
      </c>
      <c r="W48" s="60">
        <f>'Interim Balance Sheet Reported'!W48/'Interim Balance Sheet US$'!W$7</f>
        <v>0</v>
      </c>
      <c r="X48" s="60">
        <f>'Interim Balance Sheet Reported'!X48/'Interim Balance Sheet US$'!X$7</f>
        <v>0</v>
      </c>
      <c r="Y48" s="60">
        <f>'Interim Balance Sheet Reported'!Y48/'Interim Balance Sheet US$'!Y$7</f>
        <v>0</v>
      </c>
      <c r="Z48" s="60">
        <f>'Interim Balance Sheet Reported'!Z48/'Interim Balance Sheet US$'!Z$7</f>
        <v>0</v>
      </c>
      <c r="AA48" s="60">
        <f>'Interim Balance Sheet Reported'!AA48/'Interim Balance Sheet US$'!AA$7</f>
        <v>0</v>
      </c>
      <c r="AB48" s="60">
        <f>'Interim Balance Sheet Reported'!AB48/'Interim Balance Sheet US$'!AB$7</f>
        <v>0</v>
      </c>
    </row>
    <row r="49" spans="1:28" x14ac:dyDescent="0.3">
      <c r="A49" s="14" t="s">
        <v>105</v>
      </c>
      <c r="B49" s="22">
        <f>SUM(B45:B48)</f>
        <v>4120.5083947905223</v>
      </c>
      <c r="C49" s="22">
        <f>SUM(C45:C48)</f>
        <v>4113.5611016880703</v>
      </c>
      <c r="D49" s="22">
        <f t="shared" ref="D49:I49" si="43">SUM(D45:D48)</f>
        <v>4162.1258490706869</v>
      </c>
      <c r="E49" s="22">
        <f t="shared" si="43"/>
        <v>4239.0204999999996</v>
      </c>
      <c r="F49" s="22">
        <f t="shared" si="43"/>
        <v>4625.1833552072876</v>
      </c>
      <c r="G49" s="22">
        <f t="shared" si="43"/>
        <v>4951.2685643564355</v>
      </c>
      <c r="H49" s="22">
        <f t="shared" si="43"/>
        <v>4837.3581168583833</v>
      </c>
      <c r="I49" s="22">
        <f t="shared" si="43"/>
        <v>4402.9795158286779</v>
      </c>
      <c r="J49" s="22">
        <f>SUM(J45:J48)</f>
        <v>4474.3955548881222</v>
      </c>
      <c r="K49" s="22">
        <f>SUM(K45:K48)</f>
        <v>4428.9149383829272</v>
      </c>
      <c r="L49" s="22">
        <f>SUM(L45:L48)</f>
        <v>4372.4441648317079</v>
      </c>
      <c r="M49" s="22">
        <f>SUM(M45:M48)</f>
        <v>4333.7841062763509</v>
      </c>
      <c r="N49" s="22">
        <f t="shared" ref="N49" si="44">SUM(N45:N48)</f>
        <v>4741.8604651162786</v>
      </c>
      <c r="O49" s="22">
        <f>SUM(O45:O48)</f>
        <v>5000.1903529143028</v>
      </c>
      <c r="P49" s="22">
        <f>SUM(P45:P48)</f>
        <v>4838.8596219398823</v>
      </c>
      <c r="Q49" s="22">
        <f>SUM(Q45:Q48)</f>
        <v>6518.0342319841329</v>
      </c>
      <c r="R49" s="22">
        <f t="shared" ref="R49:S49" si="45">SUM(R45:R48)</f>
        <v>6303.093864708967</v>
      </c>
      <c r="S49" s="22">
        <f t="shared" si="45"/>
        <v>6263.4593356242849</v>
      </c>
      <c r="T49" s="22">
        <f t="shared" ref="T49:U49" si="46">SUM(T45:T48)</f>
        <v>6129.539000664613</v>
      </c>
      <c r="U49" s="22">
        <f t="shared" si="46"/>
        <v>6177.0592763664354</v>
      </c>
      <c r="V49" s="22">
        <f t="shared" ref="V49:Y49" si="47">SUM(V45:V48)</f>
        <v>6835.4340654666121</v>
      </c>
      <c r="W49" s="22">
        <f t="shared" si="47"/>
        <v>7695.9340011785516</v>
      </c>
      <c r="X49" s="22">
        <f t="shared" si="47"/>
        <v>8378.5001126041589</v>
      </c>
      <c r="Y49" s="22">
        <f t="shared" si="47"/>
        <v>8408.5278882966741</v>
      </c>
      <c r="Z49" s="22">
        <f t="shared" ref="Z49:AA49" si="48">SUM(Z45:Z48)</f>
        <v>8852.2763451130213</v>
      </c>
      <c r="AA49" s="22">
        <f t="shared" si="48"/>
        <v>9465.9567602452407</v>
      </c>
      <c r="AB49" s="22">
        <f t="shared" ref="AB49" si="49">SUM(AB45:AB48)</f>
        <v>12351.781772311573</v>
      </c>
    </row>
    <row r="50" spans="1:28" x14ac:dyDescent="0.3">
      <c r="A50" s="85" t="s">
        <v>106</v>
      </c>
      <c r="B50" s="58">
        <f>'Interim Balance Sheet Reported'!B50/'Interim Balance Sheet US$'!B$7</f>
        <v>0</v>
      </c>
      <c r="C50" s="58">
        <f>'Interim Balance Sheet Reported'!C50/'Interim Balance Sheet US$'!C$7</f>
        <v>0</v>
      </c>
      <c r="D50" s="58">
        <f>'Interim Balance Sheet Reported'!D50/'Interim Balance Sheet US$'!D$7</f>
        <v>0</v>
      </c>
      <c r="E50" s="58">
        <f>'Interim Balance Sheet Reported'!E50/'Interim Balance Sheet US$'!E$7</f>
        <v>0</v>
      </c>
      <c r="F50" s="58">
        <f>'Interim Balance Sheet Reported'!F50/'Interim Balance Sheet US$'!F$7</f>
        <v>0</v>
      </c>
      <c r="G50" s="58">
        <f>'Interim Balance Sheet Reported'!G50/'Interim Balance Sheet US$'!G$7</f>
        <v>0</v>
      </c>
      <c r="H50" s="58">
        <f>'Interim Balance Sheet Reported'!H50/'Interim Balance Sheet US$'!H$7</f>
        <v>0</v>
      </c>
      <c r="I50" s="58">
        <f>'Interim Balance Sheet Reported'!I50/'Interim Balance Sheet US$'!I$7</f>
        <v>0</v>
      </c>
      <c r="J50" s="58">
        <f>'Interim Balance Sheet Reported'!J50/'Interim Balance Sheet US$'!J$7</f>
        <v>0</v>
      </c>
      <c r="K50" s="58">
        <f>'Interim Balance Sheet Reported'!K50/'Interim Balance Sheet US$'!K$7</f>
        <v>0</v>
      </c>
      <c r="L50" s="58">
        <f>'Interim Balance Sheet Reported'!L50/'Interim Balance Sheet US$'!L$7</f>
        <v>0</v>
      </c>
      <c r="M50" s="58">
        <f>'Interim Balance Sheet Reported'!M50/'Interim Balance Sheet US$'!M$7</f>
        <v>0</v>
      </c>
      <c r="N50" s="58">
        <f>'Interim Balance Sheet Reported'!N50/'Interim Balance Sheet US$'!N$7</f>
        <v>0</v>
      </c>
      <c r="O50" s="58">
        <f>'Interim Balance Sheet Reported'!O50/'Interim Balance Sheet US$'!O$7</f>
        <v>0</v>
      </c>
      <c r="P50" s="58">
        <f>'Interim Balance Sheet Reported'!P50/'Interim Balance Sheet US$'!P$7</f>
        <v>85.218469166408426</v>
      </c>
      <c r="Q50" s="58">
        <f>'Interim Balance Sheet Reported'!Q50/'Interim Balance Sheet US$'!Q$7</f>
        <v>38.198780577389265</v>
      </c>
      <c r="R50" s="58">
        <f>'Interim Balance Sheet Reported'!R50/'Interim Balance Sheet US$'!R$7</f>
        <v>54.685744250505657</v>
      </c>
      <c r="S50" s="58">
        <f>'Interim Balance Sheet Reported'!S50/'Interim Balance Sheet US$'!S$7</f>
        <v>55.746468117602141</v>
      </c>
      <c r="T50" s="58">
        <f>'Interim Balance Sheet Reported'!T50/'Interim Balance Sheet US$'!T$7</f>
        <v>55.132620385475199</v>
      </c>
      <c r="U50" s="58">
        <f>'Interim Balance Sheet Reported'!U50/'Interim Balance Sheet US$'!U$7</f>
        <v>56.197074672825252</v>
      </c>
      <c r="V50" s="58">
        <f>'Interim Balance Sheet Reported'!V50/'Interim Balance Sheet US$'!V$7</f>
        <v>124.66698399192994</v>
      </c>
      <c r="W50" s="58">
        <f>'Interim Balance Sheet Reported'!W50/'Interim Balance Sheet US$'!W$7</f>
        <v>53.771361225692402</v>
      </c>
      <c r="X50" s="58">
        <f>'Interim Balance Sheet Reported'!X50/'Interim Balance Sheet US$'!X$7</f>
        <v>54.800690638840926</v>
      </c>
      <c r="Y50" s="58">
        <f>'Interim Balance Sheet Reported'!Y50/'Interim Balance Sheet US$'!Y$7</f>
        <v>56.302079423466701</v>
      </c>
      <c r="Z50" s="58">
        <f>'Interim Balance Sheet Reported'!Z50/'Interim Balance Sheet US$'!Z$7</f>
        <v>59.694364851957978</v>
      </c>
      <c r="AA50" s="58">
        <f>'Interim Balance Sheet Reported'!AA50/'Interim Balance Sheet US$'!AA$7</f>
        <v>60.503388189738622</v>
      </c>
      <c r="AB50" s="58">
        <f>'Interim Balance Sheet Reported'!AB50/'Interim Balance Sheet US$'!AB$7</f>
        <v>59.129612109744563</v>
      </c>
    </row>
    <row r="51" spans="1:28" x14ac:dyDescent="0.3">
      <c r="A51" s="85" t="s">
        <v>107</v>
      </c>
      <c r="B51" s="58">
        <f>'Interim Balance Sheet Reported'!B51/'Interim Balance Sheet US$'!B$7</f>
        <v>0</v>
      </c>
      <c r="C51" s="58">
        <f>'Interim Balance Sheet Reported'!C51/'Interim Balance Sheet US$'!C$7</f>
        <v>0</v>
      </c>
      <c r="D51" s="58">
        <f>'Interim Balance Sheet Reported'!D51/'Interim Balance Sheet US$'!D$7</f>
        <v>0</v>
      </c>
      <c r="E51" s="58">
        <f>'Interim Balance Sheet Reported'!E51/'Interim Balance Sheet US$'!E$7</f>
        <v>0</v>
      </c>
      <c r="F51" s="58">
        <f>'Interim Balance Sheet Reported'!F51/'Interim Balance Sheet US$'!F$7</f>
        <v>0</v>
      </c>
      <c r="G51" s="58">
        <f>'Interim Balance Sheet Reported'!G51/'Interim Balance Sheet US$'!G$7</f>
        <v>0</v>
      </c>
      <c r="H51" s="58">
        <f>'Interim Balance Sheet Reported'!H51/'Interim Balance Sheet US$'!H$7</f>
        <v>0</v>
      </c>
      <c r="I51" s="58">
        <f>'Interim Balance Sheet Reported'!I51/'Interim Balance Sheet US$'!I$7</f>
        <v>0</v>
      </c>
      <c r="J51" s="58">
        <f>'Interim Balance Sheet Reported'!J51/'Interim Balance Sheet US$'!J$7</f>
        <v>0</v>
      </c>
      <c r="K51" s="58">
        <f>'Interim Balance Sheet Reported'!K51/'Interim Balance Sheet US$'!K$7</f>
        <v>0</v>
      </c>
      <c r="L51" s="58">
        <f>'Interim Balance Sheet Reported'!L51/'Interim Balance Sheet US$'!L$7</f>
        <v>0</v>
      </c>
      <c r="M51" s="58">
        <f>'Interim Balance Sheet Reported'!M51/'Interim Balance Sheet US$'!M$7</f>
        <v>0</v>
      </c>
      <c r="N51" s="58">
        <f>'Interim Balance Sheet Reported'!N51/'Interim Balance Sheet US$'!N$7</f>
        <v>0</v>
      </c>
      <c r="O51" s="58">
        <f>'Interim Balance Sheet Reported'!O51/'Interim Balance Sheet US$'!O$7</f>
        <v>0</v>
      </c>
      <c r="P51" s="58">
        <f>'Interim Balance Sheet Reported'!P51/'Interim Balance Sheet US$'!P$7</f>
        <v>0</v>
      </c>
      <c r="Q51" s="58">
        <f>'Interim Balance Sheet Reported'!Q51/'Interim Balance Sheet US$'!Q$7</f>
        <v>0</v>
      </c>
      <c r="R51" s="58">
        <f>'Interim Balance Sheet Reported'!R51/'Interim Balance Sheet US$'!R$7</f>
        <v>0</v>
      </c>
      <c r="S51" s="58">
        <f>'Interim Balance Sheet Reported'!S51/'Interim Balance Sheet US$'!S$7</f>
        <v>0</v>
      </c>
      <c r="T51" s="58">
        <f>'Interim Balance Sheet Reported'!T51/'Interim Balance Sheet US$'!T$7</f>
        <v>0</v>
      </c>
      <c r="U51" s="58">
        <f>'Interim Balance Sheet Reported'!U51/'Interim Balance Sheet US$'!U$7</f>
        <v>0</v>
      </c>
      <c r="V51" s="58">
        <f>'Interim Balance Sheet Reported'!V51/'Interim Balance Sheet US$'!V$7</f>
        <v>0</v>
      </c>
      <c r="W51" s="58">
        <f>'Interim Balance Sheet Reported'!W51/'Interim Balance Sheet US$'!W$7</f>
        <v>0</v>
      </c>
      <c r="X51" s="58">
        <f>'Interim Balance Sheet Reported'!X51/'Interim Balance Sheet US$'!X$7</f>
        <v>0</v>
      </c>
      <c r="Y51" s="58">
        <f>'Interim Balance Sheet Reported'!Y51/'Interim Balance Sheet US$'!Y$7</f>
        <v>0</v>
      </c>
      <c r="Z51" s="58">
        <f>'Interim Balance Sheet Reported'!Z51/'Interim Balance Sheet US$'!Z$7</f>
        <v>0</v>
      </c>
      <c r="AA51" s="58">
        <f>'Interim Balance Sheet Reported'!AA51/'Interim Balance Sheet US$'!AA$7</f>
        <v>0</v>
      </c>
      <c r="AB51" s="58">
        <f>'Interim Balance Sheet Reported'!AB51/'Interim Balance Sheet US$'!AB$7</f>
        <v>0</v>
      </c>
    </row>
    <row r="52" spans="1:28" x14ac:dyDescent="0.3">
      <c r="A52" s="85" t="s">
        <v>108</v>
      </c>
      <c r="B52" s="58">
        <f>'Interim Balance Sheet Reported'!B52/'Interim Balance Sheet US$'!B$7</f>
        <v>0</v>
      </c>
      <c r="C52" s="58">
        <f>'Interim Balance Sheet Reported'!C52/'Interim Balance Sheet US$'!C$7</f>
        <v>0</v>
      </c>
      <c r="D52" s="58">
        <f>'Interim Balance Sheet Reported'!D52/'Interim Balance Sheet US$'!D$7</f>
        <v>0</v>
      </c>
      <c r="E52" s="58">
        <f>'Interim Balance Sheet Reported'!E52/'Interim Balance Sheet US$'!E$7</f>
        <v>0</v>
      </c>
      <c r="F52" s="58">
        <f>'Interim Balance Sheet Reported'!F52/'Interim Balance Sheet US$'!F$7</f>
        <v>0</v>
      </c>
      <c r="G52" s="58">
        <f>'Interim Balance Sheet Reported'!G52/'Interim Balance Sheet US$'!G$7</f>
        <v>0</v>
      </c>
      <c r="H52" s="58">
        <f>'Interim Balance Sheet Reported'!H52/'Interim Balance Sheet US$'!H$7</f>
        <v>0</v>
      </c>
      <c r="I52" s="58">
        <f>'Interim Balance Sheet Reported'!I52/'Interim Balance Sheet US$'!I$7</f>
        <v>0</v>
      </c>
      <c r="J52" s="58">
        <f>'Interim Balance Sheet Reported'!J52/'Interim Balance Sheet US$'!J$7</f>
        <v>0</v>
      </c>
      <c r="K52" s="58">
        <f>'Interim Balance Sheet Reported'!K52/'Interim Balance Sheet US$'!K$7</f>
        <v>0</v>
      </c>
      <c r="L52" s="58">
        <f>'Interim Balance Sheet Reported'!L52/'Interim Balance Sheet US$'!L$7</f>
        <v>0</v>
      </c>
      <c r="M52" s="58">
        <f>'Interim Balance Sheet Reported'!M52/'Interim Balance Sheet US$'!M$7</f>
        <v>0</v>
      </c>
      <c r="N52" s="58">
        <f>'Interim Balance Sheet Reported'!N52/'Interim Balance Sheet US$'!N$7</f>
        <v>0</v>
      </c>
      <c r="O52" s="58">
        <f>'Interim Balance Sheet Reported'!O52/'Interim Balance Sheet US$'!O$7</f>
        <v>0</v>
      </c>
      <c r="P52" s="58">
        <f>'Interim Balance Sheet Reported'!P52/'Interim Balance Sheet US$'!P$7</f>
        <v>0</v>
      </c>
      <c r="Q52" s="58">
        <f>'Interim Balance Sheet Reported'!Q52/'Interim Balance Sheet US$'!Q$7</f>
        <v>0</v>
      </c>
      <c r="R52" s="58">
        <f>'Interim Balance Sheet Reported'!R52/'Interim Balance Sheet US$'!R$7</f>
        <v>2436.8866581766424</v>
      </c>
      <c r="S52" s="58">
        <f>'Interim Balance Sheet Reported'!S52/'Interim Balance Sheet US$'!S$7</f>
        <v>2474.2268041237116</v>
      </c>
      <c r="T52" s="58">
        <f>'Interim Balance Sheet Reported'!T52/'Interim Balance Sheet US$'!T$7</f>
        <v>2379.7655730771558</v>
      </c>
      <c r="U52" s="58">
        <f>'Interim Balance Sheet Reported'!U52/'Interim Balance Sheet US$'!U$7</f>
        <v>2414.1647421093148</v>
      </c>
      <c r="V52" s="58">
        <f>'Interim Balance Sheet Reported'!V52/'Interim Balance Sheet US$'!V$7</f>
        <v>2736.2986315955986</v>
      </c>
      <c r="W52" s="58">
        <f>'Interim Balance Sheet Reported'!W52/'Interim Balance Sheet US$'!W$7</f>
        <v>2789.4814378314672</v>
      </c>
      <c r="X52" s="58">
        <f>'Interim Balance Sheet Reported'!X52/'Interim Balance Sheet US$'!X$7</f>
        <v>2895.4282711508145</v>
      </c>
      <c r="Y52" s="58">
        <f>'Interim Balance Sheet Reported'!Y52/'Interim Balance Sheet US$'!Y$7</f>
        <v>3026.7997898055701</v>
      </c>
      <c r="Z52" s="58">
        <f>'Interim Balance Sheet Reported'!Z52/'Interim Balance Sheet US$'!Z$7</f>
        <v>3163.8013371537727</v>
      </c>
      <c r="AA52" s="58">
        <f>'Interim Balance Sheet Reported'!AA52/'Interim Balance Sheet US$'!AA$7</f>
        <v>3089.7063568893191</v>
      </c>
      <c r="AB52" s="58">
        <f>'Interim Balance Sheet Reported'!AB52/'Interim Balance Sheet US$'!AB$7</f>
        <v>2973.0368968779567</v>
      </c>
    </row>
    <row r="53" spans="1:28" x14ac:dyDescent="0.3">
      <c r="A53" s="85" t="s">
        <v>109</v>
      </c>
      <c r="B53" s="58">
        <f>'Interim Balance Sheet Reported'!B53/'Interim Balance Sheet US$'!B$7</f>
        <v>0</v>
      </c>
      <c r="C53" s="58">
        <f>'Interim Balance Sheet Reported'!C53/'Interim Balance Sheet US$'!C$7</f>
        <v>0</v>
      </c>
      <c r="D53" s="58">
        <f>'Interim Balance Sheet Reported'!D53/'Interim Balance Sheet US$'!D$7</f>
        <v>0</v>
      </c>
      <c r="E53" s="58">
        <f>'Interim Balance Sheet Reported'!E53/'Interim Balance Sheet US$'!E$7</f>
        <v>0</v>
      </c>
      <c r="F53" s="58">
        <f>'Interim Balance Sheet Reported'!F53/'Interim Balance Sheet US$'!F$7</f>
        <v>0</v>
      </c>
      <c r="G53" s="58">
        <f>'Interim Balance Sheet Reported'!G53/'Interim Balance Sheet US$'!G$7</f>
        <v>0</v>
      </c>
      <c r="H53" s="58">
        <f>'Interim Balance Sheet Reported'!H53/'Interim Balance Sheet US$'!H$7</f>
        <v>0</v>
      </c>
      <c r="I53" s="58">
        <f>'Interim Balance Sheet Reported'!I53/'Interim Balance Sheet US$'!I$7</f>
        <v>0</v>
      </c>
      <c r="J53" s="58">
        <f>'Interim Balance Sheet Reported'!J53/'Interim Balance Sheet US$'!J$7</f>
        <v>0</v>
      </c>
      <c r="K53" s="58">
        <f>'Interim Balance Sheet Reported'!K53/'Interim Balance Sheet US$'!K$7</f>
        <v>0</v>
      </c>
      <c r="L53" s="58">
        <f>'Interim Balance Sheet Reported'!L53/'Interim Balance Sheet US$'!L$7</f>
        <v>0</v>
      </c>
      <c r="M53" s="58">
        <f>'Interim Balance Sheet Reported'!M53/'Interim Balance Sheet US$'!M$7</f>
        <v>0</v>
      </c>
      <c r="N53" s="58">
        <f>'Interim Balance Sheet Reported'!N53/'Interim Balance Sheet US$'!N$7</f>
        <v>0</v>
      </c>
      <c r="O53" s="58">
        <f>'Interim Balance Sheet Reported'!O53/'Interim Balance Sheet US$'!O$7</f>
        <v>0</v>
      </c>
      <c r="P53" s="58">
        <f>'Interim Balance Sheet Reported'!P53/'Interim Balance Sheet US$'!P$7</f>
        <v>0</v>
      </c>
      <c r="Q53" s="58">
        <f>'Interim Balance Sheet Reported'!Q53/'Interim Balance Sheet US$'!Q$7</f>
        <v>0</v>
      </c>
      <c r="R53" s="58">
        <f>'Interim Balance Sheet Reported'!R53/'Interim Balance Sheet US$'!R$7</f>
        <v>0</v>
      </c>
      <c r="S53" s="58">
        <f>'Interim Balance Sheet Reported'!S53/'Interim Balance Sheet US$'!S$7</f>
        <v>0</v>
      </c>
      <c r="T53" s="58">
        <f>'Interim Balance Sheet Reported'!T53/'Interim Balance Sheet US$'!T$7</f>
        <v>0</v>
      </c>
      <c r="U53" s="58">
        <f>'Interim Balance Sheet Reported'!U53/'Interim Balance Sheet US$'!U$7</f>
        <v>0</v>
      </c>
      <c r="V53" s="58">
        <f>'Interim Balance Sheet Reported'!V53/'Interim Balance Sheet US$'!V$7</f>
        <v>0</v>
      </c>
      <c r="W53" s="58">
        <f>'Interim Balance Sheet Reported'!W53/'Interim Balance Sheet US$'!W$7</f>
        <v>0</v>
      </c>
      <c r="X53" s="58">
        <f>'Interim Balance Sheet Reported'!X53/'Interim Balance Sheet US$'!X$7</f>
        <v>0</v>
      </c>
      <c r="Y53" s="58">
        <f>'Interim Balance Sheet Reported'!Y53/'Interim Balance Sheet US$'!Y$7</f>
        <v>0</v>
      </c>
      <c r="Z53" s="58">
        <f>'Interim Balance Sheet Reported'!Z53/'Interim Balance Sheet US$'!Z$7</f>
        <v>0</v>
      </c>
      <c r="AA53" s="58">
        <f>'Interim Balance Sheet Reported'!AA53/'Interim Balance Sheet US$'!AA$7</f>
        <v>0</v>
      </c>
      <c r="AB53" s="58">
        <f>'Interim Balance Sheet Reported'!AB53/'Interim Balance Sheet US$'!AB$7</f>
        <v>0</v>
      </c>
    </row>
    <row r="54" spans="1:28" x14ac:dyDescent="0.3">
      <c r="A54" s="85" t="s">
        <v>110</v>
      </c>
      <c r="B54" s="58">
        <f>'Interim Balance Sheet Reported'!B54/'Interim Balance Sheet US$'!B$7</f>
        <v>1682.8809038129609</v>
      </c>
      <c r="C54" s="58">
        <f>'Interim Balance Sheet Reported'!C54/'Interim Balance Sheet US$'!C$7</f>
        <v>1784.1854454405945</v>
      </c>
      <c r="D54" s="58">
        <f>'Interim Balance Sheet Reported'!D54/'Interim Balance Sheet US$'!D$7</f>
        <v>1636.9336418601179</v>
      </c>
      <c r="E54" s="58">
        <f>'Interim Balance Sheet Reported'!E54/'Interim Balance Sheet US$'!E$7</f>
        <v>1621.2267499999998</v>
      </c>
      <c r="F54" s="58">
        <f>'Interim Balance Sheet Reported'!F54/'Interim Balance Sheet US$'!F$7</f>
        <v>2043.5420365938392</v>
      </c>
      <c r="G54" s="58">
        <f>'Interim Balance Sheet Reported'!G54/'Interim Balance Sheet US$'!G$7</f>
        <v>2161.97400990099</v>
      </c>
      <c r="H54" s="58">
        <f>'Interim Balance Sheet Reported'!H54/'Interim Balance Sheet US$'!H$7</f>
        <v>2207.6635941189916</v>
      </c>
      <c r="I54" s="58">
        <f>'Interim Balance Sheet Reported'!I54/'Interim Balance Sheet US$'!I$7</f>
        <v>1814.5251396648043</v>
      </c>
      <c r="J54" s="58">
        <f>'Interim Balance Sheet Reported'!J54/'Interim Balance Sheet US$'!J$7</f>
        <v>1921.4596786304251</v>
      </c>
      <c r="K54" s="58">
        <f>'Interim Balance Sheet Reported'!K54/'Interim Balance Sheet US$'!K$7</f>
        <v>2026.6005410279531</v>
      </c>
      <c r="L54" s="58">
        <f>'Interim Balance Sheet Reported'!L54/'Interim Balance Sheet US$'!L$7</f>
        <v>2040.7360805284679</v>
      </c>
      <c r="M54" s="58">
        <f>'Interim Balance Sheet Reported'!M54/'Interim Balance Sheet US$'!M$7</f>
        <v>2061.8884734706867</v>
      </c>
      <c r="N54" s="58">
        <f>'Interim Balance Sheet Reported'!N54/'Interim Balance Sheet US$'!N$7</f>
        <v>1996.1240310077519</v>
      </c>
      <c r="O54" s="58">
        <f>'Interim Balance Sheet Reported'!O54/'Interim Balance Sheet US$'!O$7</f>
        <v>1905.0519663456048</v>
      </c>
      <c r="P54" s="58">
        <f>'Interim Balance Sheet Reported'!P54/'Interim Balance Sheet US$'!P$7</f>
        <v>1895.7235822745586</v>
      </c>
      <c r="Q54" s="58">
        <f>'Interim Balance Sheet Reported'!Q54/'Interim Balance Sheet US$'!Q$7</f>
        <v>1871.0056563578933</v>
      </c>
      <c r="R54" s="58">
        <f>'Interim Balance Sheet Reported'!R54/'Interim Balance Sheet US$'!R$7</f>
        <v>2094.5389167727922</v>
      </c>
      <c r="S54" s="58">
        <f>'Interim Balance Sheet Reported'!S54/'Interim Balance Sheet US$'!S$7</f>
        <v>2271.0958381061478</v>
      </c>
      <c r="T54" s="58">
        <f>'Interim Balance Sheet Reported'!T54/'Interim Balance Sheet US$'!T$7</f>
        <v>2277.8079874327836</v>
      </c>
      <c r="U54" s="58">
        <f>'Interim Balance Sheet Reported'!U54/'Interim Balance Sheet US$'!U$7</f>
        <v>2255.5812163202463</v>
      </c>
      <c r="V54" s="58">
        <f>'Interim Balance Sheet Reported'!V54/'Interim Balance Sheet US$'!V$7</f>
        <v>1804.1295922013951</v>
      </c>
      <c r="W54" s="58">
        <f>'Interim Balance Sheet Reported'!W54/'Interim Balance Sheet US$'!W$7</f>
        <v>2256.923983500295</v>
      </c>
      <c r="X54" s="58">
        <f>'Interim Balance Sheet Reported'!X54/'Interim Balance Sheet US$'!X$7</f>
        <v>2297.8755348697546</v>
      </c>
      <c r="Y54" s="58">
        <f>'Interim Balance Sheet Reported'!Y54/'Interim Balance Sheet US$'!Y$7</f>
        <v>2263.3435928233616</v>
      </c>
      <c r="Z54" s="58">
        <f>'Interim Balance Sheet Reported'!Z54/'Interim Balance Sheet US$'!Z$7</f>
        <v>2091.6905444126073</v>
      </c>
      <c r="AA54" s="58">
        <f>'Interim Balance Sheet Reported'!AA54/'Interim Balance Sheet US$'!AA$7</f>
        <v>2126.4924169086803</v>
      </c>
      <c r="AB54" s="58">
        <f>'Interim Balance Sheet Reported'!AB54/'Interim Balance Sheet US$'!AB$7</f>
        <v>2011.1952065594451</v>
      </c>
    </row>
    <row r="55" spans="1:28" x14ac:dyDescent="0.3">
      <c r="A55" s="85" t="s">
        <v>111</v>
      </c>
      <c r="B55" s="58">
        <f>'Interim Balance Sheet Reported'!B55/'Interim Balance Sheet US$'!B$7</f>
        <v>666.09132276792718</v>
      </c>
      <c r="C55" s="58">
        <f>'Interim Balance Sheet Reported'!C55/'Interim Balance Sheet US$'!C$7</f>
        <v>671.1897261933608</v>
      </c>
      <c r="D55" s="58">
        <f>'Interim Balance Sheet Reported'!D55/'Interim Balance Sheet US$'!D$7</f>
        <v>688.96021497350148</v>
      </c>
      <c r="E55" s="58">
        <f>'Interim Balance Sheet Reported'!E55/'Interim Balance Sheet US$'!E$7</f>
        <v>644.15779999999995</v>
      </c>
      <c r="F55" s="58">
        <f>'Interim Balance Sheet Reported'!F55/'Interim Balance Sheet US$'!F$7</f>
        <v>634.60202269744457</v>
      </c>
      <c r="G55" s="58">
        <f>'Interim Balance Sheet Reported'!G55/'Interim Balance Sheet US$'!G$7</f>
        <v>653.62004950495054</v>
      </c>
      <c r="H55" s="58">
        <f>'Interim Balance Sheet Reported'!H55/'Interim Balance Sheet US$'!H$7</f>
        <v>665.8033061628704</v>
      </c>
      <c r="I55" s="58">
        <f>'Interim Balance Sheet Reported'!I55/'Interim Balance Sheet US$'!I$7</f>
        <v>686.77839851024203</v>
      </c>
      <c r="J55" s="58">
        <f>'Interim Balance Sheet Reported'!J55/'Interim Balance Sheet US$'!J$7</f>
        <v>721.57981678930776</v>
      </c>
      <c r="K55" s="58">
        <f>'Interim Balance Sheet Reported'!K55/'Interim Balance Sheet US$'!K$7</f>
        <v>745.4162909528103</v>
      </c>
      <c r="L55" s="58">
        <f>'Interim Balance Sheet Reported'!L55/'Interim Balance Sheet US$'!L$7</f>
        <v>761.24567474048445</v>
      </c>
      <c r="M55" s="58">
        <f>'Interim Balance Sheet Reported'!M55/'Interim Balance Sheet US$'!M$7</f>
        <v>797.86810914008436</v>
      </c>
      <c r="N55" s="58">
        <f>'Interim Balance Sheet Reported'!N55/'Interim Balance Sheet US$'!N$7</f>
        <v>814.72868217054258</v>
      </c>
      <c r="O55" s="58">
        <f>'Interim Balance Sheet Reported'!O55/'Interim Balance Sheet US$'!O$7</f>
        <v>810.90341493128255</v>
      </c>
      <c r="P55" s="58">
        <f>'Interim Balance Sheet Reported'!P55/'Interim Balance Sheet US$'!P$7</f>
        <v>819.6467307096375</v>
      </c>
      <c r="Q55" s="58">
        <f>'Interim Balance Sheet Reported'!Q55/'Interim Balance Sheet US$'!Q$7</f>
        <v>960.11165797399553</v>
      </c>
      <c r="R55" s="58">
        <f>'Interim Balance Sheet Reported'!R55/'Interim Balance Sheet US$'!R$7</f>
        <v>943.14180837515926</v>
      </c>
      <c r="S55" s="58">
        <f>'Interim Balance Sheet Reported'!S55/'Interim Balance Sheet US$'!S$7</f>
        <v>896.52539137075223</v>
      </c>
      <c r="T55" s="58">
        <f>'Interim Balance Sheet Reported'!T55/'Interim Balance Sheet US$'!T$7</f>
        <v>826.23406440698454</v>
      </c>
      <c r="U55" s="58">
        <f>'Interim Balance Sheet Reported'!U55/'Interim Balance Sheet US$'!U$7</f>
        <v>954.58044649730562</v>
      </c>
      <c r="V55" s="58">
        <f>'Interim Balance Sheet Reported'!V55/'Interim Balance Sheet US$'!V$7</f>
        <v>903.12729880517429</v>
      </c>
      <c r="W55" s="58">
        <f>'Interim Balance Sheet Reported'!W55/'Interim Balance Sheet US$'!W$7</f>
        <v>829.40483205657051</v>
      </c>
      <c r="X55" s="58">
        <f>'Interim Balance Sheet Reported'!X55/'Interim Balance Sheet US$'!X$7</f>
        <v>765.70828015914719</v>
      </c>
      <c r="Y55" s="58">
        <f>'Interim Balance Sheet Reported'!Y55/'Interim Balance Sheet US$'!Y$7</f>
        <v>780.72216800540491</v>
      </c>
      <c r="Z55" s="58">
        <f>'Interim Balance Sheet Reported'!Z55/'Interim Balance Sheet US$'!Z$7</f>
        <v>770.45526902260428</v>
      </c>
      <c r="AA55" s="58">
        <f>'Interim Balance Sheet Reported'!AA55/'Interim Balance Sheet US$'!AA$7</f>
        <v>775.25008067118426</v>
      </c>
      <c r="AB55" s="58">
        <f>'Interim Balance Sheet Reported'!AB55/'Interim Balance Sheet US$'!AB$7</f>
        <v>763.16619362976985</v>
      </c>
    </row>
    <row r="56" spans="1:28" x14ac:dyDescent="0.3">
      <c r="A56" s="85" t="s">
        <v>112</v>
      </c>
      <c r="B56" s="60">
        <f>'Interim Balance Sheet Reported'!B56/'Interim Balance Sheet US$'!B$7</f>
        <v>241.64443747057902</v>
      </c>
      <c r="C56" s="60">
        <f>'Interim Balance Sheet Reported'!C56/'Interim Balance Sheet US$'!C$7</f>
        <v>228.57604393829254</v>
      </c>
      <c r="D56" s="60">
        <f>'Interim Balance Sheet Reported'!D56/'Interim Balance Sheet US$'!D$7</f>
        <v>193.32686422333356</v>
      </c>
      <c r="E56" s="60">
        <f>'Interim Balance Sheet Reported'!E56/'Interim Balance Sheet US$'!E$7</f>
        <v>181.25964999999999</v>
      </c>
      <c r="F56" s="60">
        <f>'Interim Balance Sheet Reported'!F56/'Interim Balance Sheet US$'!F$7</f>
        <v>182.96919632517563</v>
      </c>
      <c r="G56" s="60">
        <f>'Interim Balance Sheet Reported'!G56/'Interim Balance Sheet US$'!G$7</f>
        <v>170.94678217821783</v>
      </c>
      <c r="H56" s="60">
        <f>'Interim Balance Sheet Reported'!H56/'Interim Balance Sheet US$'!H$7</f>
        <v>155.40489068332445</v>
      </c>
      <c r="I56" s="60">
        <f>'Interim Balance Sheet Reported'!I56/'Interim Balance Sheet US$'!I$7</f>
        <v>150.46554934823092</v>
      </c>
      <c r="J56" s="60">
        <f>'Interim Balance Sheet Reported'!J56/'Interim Balance Sheet US$'!J$7</f>
        <v>149.42183511037695</v>
      </c>
      <c r="K56" s="60">
        <f>'Interim Balance Sheet Reported'!K56/'Interim Balance Sheet US$'!K$7</f>
        <v>145.77697625488429</v>
      </c>
      <c r="L56" s="60">
        <f>'Interim Balance Sheet Reported'!L56/'Interim Balance Sheet US$'!L$7</f>
        <v>168.29191569675999</v>
      </c>
      <c r="M56" s="60">
        <f>'Interim Balance Sheet Reported'!M56/'Interim Balance Sheet US$'!M$7</f>
        <v>171.82403945589056</v>
      </c>
      <c r="N56" s="60">
        <f>'Interim Balance Sheet Reported'!N56/'Interim Balance Sheet US$'!N$7</f>
        <v>158.13953488372093</v>
      </c>
      <c r="O56" s="60">
        <f>'Interim Balance Sheet Reported'!O56/'Interim Balance Sheet US$'!O$7</f>
        <v>137.05409829824495</v>
      </c>
      <c r="P56" s="60">
        <f>'Interim Balance Sheet Reported'!P56/'Interim Balance Sheet US$'!P$7</f>
        <v>112.33343662844747</v>
      </c>
      <c r="Q56" s="60">
        <f>'Interim Balance Sheet Reported'!Q56/'Interim Balance Sheet US$'!Q$7</f>
        <v>110.92338206126497</v>
      </c>
      <c r="R56" s="60">
        <f>'Interim Balance Sheet Reported'!R56/'Interim Balance Sheet US$'!R$7</f>
        <v>109.37148850101131</v>
      </c>
      <c r="S56" s="60">
        <f>'Interim Balance Sheet Reported'!S56/'Interim Balance Sheet US$'!S$7</f>
        <v>119.1294387170676</v>
      </c>
      <c r="T56" s="60">
        <f>'Interim Balance Sheet Reported'!T56/'Interim Balance Sheet US$'!T$7</f>
        <v>125.37006827382032</v>
      </c>
      <c r="U56" s="60">
        <f>'Interim Balance Sheet Reported'!U56/'Interim Balance Sheet US$'!U$7</f>
        <v>139.33795227097769</v>
      </c>
      <c r="V56" s="60">
        <f>'Interim Balance Sheet Reported'!V56/'Interim Balance Sheet US$'!V$7</f>
        <v>96.333578539218593</v>
      </c>
      <c r="W56" s="60">
        <f>'Interim Balance Sheet Reported'!W56/'Interim Balance Sheet US$'!W$7</f>
        <v>360.93105480259283</v>
      </c>
      <c r="X56" s="60">
        <f>'Interim Balance Sheet Reported'!X56/'Interim Balance Sheet US$'!X$7</f>
        <v>327.30275504841978</v>
      </c>
      <c r="Y56" s="60">
        <f>'Interim Balance Sheet Reported'!Y56/'Interim Balance Sheet US$'!Y$7</f>
        <v>522.48329704977107</v>
      </c>
      <c r="Z56" s="60">
        <f>'Interim Balance Sheet Reported'!Z56/'Interim Balance Sheet US$'!Z$7</f>
        <v>709.96497930595353</v>
      </c>
      <c r="AA56" s="60">
        <f>'Interim Balance Sheet Reported'!AA56/'Interim Balance Sheet US$'!AA$7</f>
        <v>843.01387544369152</v>
      </c>
      <c r="AB56" s="60">
        <f>'Interim Balance Sheet Reported'!AB56/'Interim Balance Sheet US$'!AB$7</f>
        <v>767.89656259854939</v>
      </c>
    </row>
    <row r="57" spans="1:28" x14ac:dyDescent="0.3">
      <c r="A57" s="14" t="s">
        <v>113</v>
      </c>
      <c r="B57" s="22">
        <f>SUM(B50:B56)</f>
        <v>2590.6166640514671</v>
      </c>
      <c r="C57" s="22">
        <f>SUM(C50:C56)</f>
        <v>2683.9512155722477</v>
      </c>
      <c r="D57" s="22">
        <f t="shared" ref="D57:I57" si="50">SUM(D50:D56)</f>
        <v>2519.2207210569527</v>
      </c>
      <c r="E57" s="22">
        <f t="shared" si="50"/>
        <v>2446.6441999999997</v>
      </c>
      <c r="F57" s="22">
        <f t="shared" si="50"/>
        <v>2861.1132556164594</v>
      </c>
      <c r="G57" s="22">
        <f t="shared" si="50"/>
        <v>2986.5408415841584</v>
      </c>
      <c r="H57" s="22">
        <f t="shared" si="50"/>
        <v>3028.8717909651864</v>
      </c>
      <c r="I57" s="22">
        <f t="shared" si="50"/>
        <v>2651.7690875232774</v>
      </c>
      <c r="J57" s="22">
        <f>SUM(J50:J56)</f>
        <v>2792.4613305301095</v>
      </c>
      <c r="K57" s="22">
        <f>SUM(K50:K56)</f>
        <v>2917.7938082356477</v>
      </c>
      <c r="L57" s="22">
        <f>SUM(L50:L56)</f>
        <v>2970.2736709657124</v>
      </c>
      <c r="M57" s="22">
        <f>SUM(M50:M56)</f>
        <v>3031.5806220666618</v>
      </c>
      <c r="N57" s="22">
        <f t="shared" ref="N57" si="51">SUM(N50:N56)</f>
        <v>2968.9922480620153</v>
      </c>
      <c r="O57" s="22">
        <f>SUM(O50:O56)</f>
        <v>2853.009479575132</v>
      </c>
      <c r="P57" s="22">
        <f>SUM(P50:P56)</f>
        <v>2912.9222187790519</v>
      </c>
      <c r="Q57" s="22">
        <f>SUM(Q50:Q56)</f>
        <v>2980.2394769705429</v>
      </c>
      <c r="R57" s="22">
        <f t="shared" ref="R57:S57" si="52">SUM(R50:R56)</f>
        <v>5638.6246160761111</v>
      </c>
      <c r="S57" s="22">
        <f t="shared" si="52"/>
        <v>5816.7239404352813</v>
      </c>
      <c r="T57" s="22">
        <f t="shared" ref="T57:U57" si="53">SUM(T50:T56)</f>
        <v>5664.3103135762194</v>
      </c>
      <c r="U57" s="22">
        <f t="shared" si="53"/>
        <v>5819.8614318706695</v>
      </c>
      <c r="V57" s="22">
        <f t="shared" ref="V57:Y57" si="54">SUM(V50:V56)</f>
        <v>5664.5560851333157</v>
      </c>
      <c r="W57" s="22">
        <f t="shared" si="54"/>
        <v>6290.5126694166192</v>
      </c>
      <c r="X57" s="22">
        <f t="shared" si="54"/>
        <v>6341.1155318669762</v>
      </c>
      <c r="Y57" s="22">
        <f t="shared" si="54"/>
        <v>6649.6509271075747</v>
      </c>
      <c r="Z57" s="22">
        <f t="shared" ref="Z57:AA57" si="55">SUM(Z50:Z56)</f>
        <v>6795.6064947468958</v>
      </c>
      <c r="AA57" s="22">
        <f t="shared" si="55"/>
        <v>6894.9661181026131</v>
      </c>
      <c r="AB57" s="22">
        <f t="shared" ref="AB57" si="56">SUM(AB50:AB56)</f>
        <v>6574.4244717754646</v>
      </c>
    </row>
    <row r="58" spans="1:28" ht="15" thickBot="1" x14ac:dyDescent="0.35">
      <c r="A58" s="14" t="s">
        <v>255</v>
      </c>
      <c r="B58" s="24">
        <f t="shared" ref="B58:I58" si="57">B34-B43-B49-B57</f>
        <v>-951.67111250588232</v>
      </c>
      <c r="C58" s="24">
        <f t="shared" si="57"/>
        <v>-313.38341006380688</v>
      </c>
      <c r="D58" s="24">
        <f t="shared" si="57"/>
        <v>-38.068224229304633</v>
      </c>
      <c r="E58" s="24">
        <f t="shared" si="57"/>
        <v>28.886000000000422</v>
      </c>
      <c r="F58" s="24">
        <f t="shared" si="57"/>
        <v>-565.1200494094046</v>
      </c>
      <c r="G58" s="24">
        <f t="shared" si="57"/>
        <v>-520.57549504950475</v>
      </c>
      <c r="H58" s="24">
        <f t="shared" si="57"/>
        <v>122.64797745105398</v>
      </c>
      <c r="I58" s="24">
        <f t="shared" si="57"/>
        <v>908.00744878957175</v>
      </c>
      <c r="J58" s="24">
        <f>J34-J43-J49-J57</f>
        <v>694.54873104069566</v>
      </c>
      <c r="K58" s="24">
        <f>K34-K43-K49-K57</f>
        <v>899.45897204689027</v>
      </c>
      <c r="L58" s="24">
        <f>L34-L43-L49-L57</f>
        <v>2411.9219880465557</v>
      </c>
      <c r="M58" s="24">
        <f>M34-M43-M49-M57</f>
        <v>2687.9325431548805</v>
      </c>
      <c r="N58" s="24">
        <f t="shared" ref="N58" si="58">N34-N43-N49-N57</f>
        <v>2563.5658914728683</v>
      </c>
      <c r="O58" s="24">
        <f>O34-O43-O49-O57</f>
        <v>2974.8353447291311</v>
      </c>
      <c r="P58" s="24">
        <f>P34-P43-P49-P57</f>
        <v>3524.9457700650773</v>
      </c>
      <c r="Q58" s="24">
        <f>Q34-Q43-Q49-Q57</f>
        <v>2407.2577683097038</v>
      </c>
      <c r="R58" s="24">
        <f t="shared" ref="R58:S58" si="59">R34-R43-R49-R57</f>
        <v>2463.8549704097686</v>
      </c>
      <c r="S58" s="24">
        <f t="shared" si="59"/>
        <v>2570.4467353951904</v>
      </c>
      <c r="T58" s="24">
        <f t="shared" ref="T58:U58" si="60">T34-T43-T49-T57</f>
        <v>3053.4408797051528</v>
      </c>
      <c r="U58" s="24">
        <f t="shared" si="60"/>
        <v>3387.2209391839879</v>
      </c>
      <c r="V58" s="24">
        <f t="shared" ref="V58:Y58" si="61">V34-V43-V49-V57</f>
        <v>3018.2160158500756</v>
      </c>
      <c r="W58" s="24">
        <f t="shared" si="61"/>
        <v>1504.8615203299923</v>
      </c>
      <c r="X58" s="24">
        <f t="shared" si="61"/>
        <v>1287.4408828166061</v>
      </c>
      <c r="Y58" s="24">
        <f t="shared" si="61"/>
        <v>1287.4408828166042</v>
      </c>
      <c r="Z58" s="24">
        <f t="shared" ref="Z58:AA58" si="62">Z34-Z43-Z49-Z57</f>
        <v>719.51607768226768</v>
      </c>
      <c r="AA58" s="24">
        <f t="shared" si="62"/>
        <v>465.47273313972255</v>
      </c>
      <c r="AB58" s="24">
        <f t="shared" ref="AB58" si="63">AB34-AB43-AB49-AB57</f>
        <v>114.31725007884052</v>
      </c>
    </row>
    <row r="59" spans="1:28" ht="15" thickTop="1" x14ac:dyDescent="0.3">
      <c r="A59" s="85" t="s">
        <v>114</v>
      </c>
      <c r="B59" s="58">
        <f>'Interim Balance Sheet Reported'!B59/'Interim Balance Sheet US$'!B$7</f>
        <v>655.89204456300013</v>
      </c>
      <c r="C59" s="58">
        <f>'Interim Balance Sheet Reported'!C59/'Interim Balance Sheet US$'!C$7</f>
        <v>676.84355060172845</v>
      </c>
      <c r="D59" s="58">
        <f>'Interim Balance Sheet Reported'!D59/'Interim Balance Sheet US$'!D$7</f>
        <v>617.30238113010375</v>
      </c>
      <c r="E59" s="58">
        <f>'Interim Balance Sheet Reported'!E59/'Interim Balance Sheet US$'!E$7</f>
        <v>595.77374999999995</v>
      </c>
      <c r="F59" s="58">
        <f>'Interim Balance Sheet Reported'!F59/'Interim Balance Sheet US$'!F$7</f>
        <v>626.88180344321768</v>
      </c>
      <c r="G59" s="58">
        <f>'Interim Balance Sheet Reported'!G59/'Interim Balance Sheet US$'!G$7</f>
        <v>623.45297029702976</v>
      </c>
      <c r="H59" s="58">
        <f>'Interim Balance Sheet Reported'!H59/'Interim Balance Sheet US$'!H$7</f>
        <v>606.38378913689348</v>
      </c>
      <c r="I59" s="58">
        <f>'Interim Balance Sheet Reported'!I59/'Interim Balance Sheet US$'!I$7</f>
        <v>593.66852886405957</v>
      </c>
      <c r="J59" s="58">
        <f>'Interim Balance Sheet Reported'!J59/'Interim Balance Sheet US$'!J$7</f>
        <v>593.93302297642299</v>
      </c>
      <c r="K59" s="58">
        <f>'Interim Balance Sheet Reported'!K59/'Interim Balance Sheet US$'!K$7</f>
        <v>596.63360384730993</v>
      </c>
      <c r="L59" s="58">
        <f>'Interim Balance Sheet Reported'!L59/'Interim Balance Sheet US$'!L$7</f>
        <v>629.91506763133054</v>
      </c>
      <c r="M59" s="58">
        <f>'Interim Balance Sheet Reported'!M59/'Interim Balance Sheet US$'!M$7</f>
        <v>635.58984965396553</v>
      </c>
      <c r="N59" s="58">
        <f>'Interim Balance Sheet Reported'!N59/'Interim Balance Sheet US$'!N$7</f>
        <v>620.93023255813955</v>
      </c>
      <c r="O59" s="58">
        <f>'Interim Balance Sheet Reported'!O59/'Interim Balance Sheet US$'!O$7</f>
        <v>608.36791411276511</v>
      </c>
      <c r="P59" s="58">
        <f>'Interim Balance Sheet Reported'!P59/'Interim Balance Sheet US$'!P$7</f>
        <v>622.09482491478161</v>
      </c>
      <c r="Q59" s="58">
        <f>'Interim Balance Sheet Reported'!Q59/'Interim Balance Sheet US$'!Q$7</f>
        <v>586.20436347608904</v>
      </c>
      <c r="R59" s="58">
        <f>'Interim Balance Sheet Reported'!R59/'Interim Balance Sheet US$'!R$7</f>
        <v>594.80110869728071</v>
      </c>
      <c r="S59" s="58">
        <f>'Interim Balance Sheet Reported'!S59/'Interim Balance Sheet US$'!S$7</f>
        <v>602.52004581901497</v>
      </c>
      <c r="T59" s="58">
        <f>'Interim Balance Sheet Reported'!T59/'Interim Balance Sheet US$'!T$7</f>
        <v>597.39592773850529</v>
      </c>
      <c r="U59" s="58">
        <f>'Interim Balance Sheet Reported'!U59/'Interim Balance Sheet US$'!U$7</f>
        <v>604.31100846805236</v>
      </c>
      <c r="V59" s="58">
        <f>'Interim Balance Sheet Reported'!V59/'Interim Balance Sheet US$'!V$7</f>
        <v>551.08473605523568</v>
      </c>
      <c r="W59" s="58">
        <f>'Interim Balance Sheet Reported'!W59/'Interim Balance Sheet US$'!W$7</f>
        <v>983.35297583971726</v>
      </c>
      <c r="X59" s="58">
        <f>'Interim Balance Sheet Reported'!X59/'Interim Balance Sheet US$'!X$7</f>
        <v>1002.1770137377073</v>
      </c>
      <c r="Y59" s="58">
        <f>'Interim Balance Sheet Reported'!Y59/'Interim Balance Sheet US$'!Y$7</f>
        <v>1613.9929434727121</v>
      </c>
      <c r="Z59" s="58">
        <f>'Interim Balance Sheet Reported'!Z59/'Interim Balance Sheet US$'!Z$7</f>
        <v>1774.116523400191</v>
      </c>
      <c r="AA59" s="58">
        <f>'Interim Balance Sheet Reported'!AA59/'Interim Balance Sheet US$'!AA$7</f>
        <v>2205.5501774766053</v>
      </c>
      <c r="AB59" s="58">
        <f>'Interim Balance Sheet Reported'!AB59/'Interim Balance Sheet US$'!AB$7</f>
        <v>2155.4714601072219</v>
      </c>
    </row>
    <row r="60" spans="1:28" x14ac:dyDescent="0.3">
      <c r="A60" s="85" t="s">
        <v>115</v>
      </c>
      <c r="B60" s="58">
        <f>'Interim Balance Sheet Reported'!B60/'Interim Balance Sheet US$'!B$7</f>
        <v>0</v>
      </c>
      <c r="C60" s="58">
        <f>'Interim Balance Sheet Reported'!C60/'Interim Balance Sheet US$'!C$7</f>
        <v>0</v>
      </c>
      <c r="D60" s="58">
        <f>'Interim Balance Sheet Reported'!D60/'Interim Balance Sheet US$'!D$7</f>
        <v>0</v>
      </c>
      <c r="E60" s="58">
        <f>'Interim Balance Sheet Reported'!E60/'Interim Balance Sheet US$'!E$7</f>
        <v>0</v>
      </c>
      <c r="F60" s="58">
        <f>'Interim Balance Sheet Reported'!F60/'Interim Balance Sheet US$'!F$7</f>
        <v>0</v>
      </c>
      <c r="G60" s="58">
        <f>'Interim Balance Sheet Reported'!G60/'Interim Balance Sheet US$'!G$7</f>
        <v>0</v>
      </c>
      <c r="H60" s="58">
        <f>'Interim Balance Sheet Reported'!H60/'Interim Balance Sheet US$'!H$7</f>
        <v>0</v>
      </c>
      <c r="I60" s="58">
        <f>'Interim Balance Sheet Reported'!I60/'Interim Balance Sheet US$'!I$7</f>
        <v>0</v>
      </c>
      <c r="J60" s="58">
        <f>'Interim Balance Sheet Reported'!J60/'Interim Balance Sheet US$'!J$7</f>
        <v>0</v>
      </c>
      <c r="K60" s="58">
        <f>'Interim Balance Sheet Reported'!K60/'Interim Balance Sheet US$'!K$7</f>
        <v>0</v>
      </c>
      <c r="L60" s="58">
        <f>'Interim Balance Sheet Reported'!L60/'Interim Balance Sheet US$'!L$7</f>
        <v>0</v>
      </c>
      <c r="M60" s="58">
        <f>'Interim Balance Sheet Reported'!M60/'Interim Balance Sheet US$'!M$7</f>
        <v>0</v>
      </c>
      <c r="N60" s="58">
        <f>'Interim Balance Sheet Reported'!N60/'Interim Balance Sheet US$'!N$7</f>
        <v>0</v>
      </c>
      <c r="O60" s="58">
        <f>'Interim Balance Sheet Reported'!O60/'Interim Balance Sheet US$'!O$7</f>
        <v>0</v>
      </c>
      <c r="P60" s="58">
        <f>'Interim Balance Sheet Reported'!P60/'Interim Balance Sheet US$'!P$7</f>
        <v>0</v>
      </c>
      <c r="Q60" s="58">
        <f>'Interim Balance Sheet Reported'!Q60/'Interim Balance Sheet US$'!Q$7</f>
        <v>0</v>
      </c>
      <c r="R60" s="58">
        <f>'Interim Balance Sheet Reported'!R60/'Interim Balance Sheet US$'!R$7</f>
        <v>0</v>
      </c>
      <c r="S60" s="58">
        <f>'Interim Balance Sheet Reported'!S60/'Interim Balance Sheet US$'!S$7</f>
        <v>0</v>
      </c>
      <c r="T60" s="58">
        <f>'Interim Balance Sheet Reported'!T60/'Interim Balance Sheet US$'!T$7</f>
        <v>0</v>
      </c>
      <c r="U60" s="58">
        <f>'Interim Balance Sheet Reported'!U60/'Interim Balance Sheet US$'!U$7</f>
        <v>0</v>
      </c>
      <c r="V60" s="58">
        <f>'Interim Balance Sheet Reported'!V60/'Interim Balance Sheet US$'!V$7</f>
        <v>0</v>
      </c>
      <c r="W60" s="58">
        <f>'Interim Balance Sheet Reported'!W60/'Interim Balance Sheet US$'!W$7</f>
        <v>0</v>
      </c>
      <c r="X60" s="58">
        <f>'Interim Balance Sheet Reported'!X60/'Interim Balance Sheet US$'!X$7</f>
        <v>0</v>
      </c>
      <c r="Y60" s="58">
        <f>'Interim Balance Sheet Reported'!Y60/'Interim Balance Sheet US$'!Y$7</f>
        <v>0</v>
      </c>
      <c r="Z60" s="58">
        <f>'Interim Balance Sheet Reported'!Z60/'Interim Balance Sheet US$'!Z$7</f>
        <v>0</v>
      </c>
      <c r="AA60" s="58">
        <f>'Interim Balance Sheet Reported'!AA60/'Interim Balance Sheet US$'!AA$7</f>
        <v>0</v>
      </c>
      <c r="AB60" s="58">
        <f>'Interim Balance Sheet Reported'!AB60/'Interim Balance Sheet US$'!AB$7</f>
        <v>0</v>
      </c>
    </row>
    <row r="61" spans="1:28" x14ac:dyDescent="0.3">
      <c r="A61" s="85" t="s">
        <v>116</v>
      </c>
      <c r="B61" s="58">
        <f>'Interim Balance Sheet Reported'!B61/'Interim Balance Sheet US$'!B$7</f>
        <v>47.073591715047861</v>
      </c>
      <c r="C61" s="58">
        <f>'Interim Balance Sheet Reported'!C61/'Interim Balance Sheet US$'!C$7</f>
        <v>49.26904127291818</v>
      </c>
      <c r="D61" s="58">
        <f>'Interim Balance Sheet Reported'!D61/'Interim Balance Sheet US$'!D$7</f>
        <v>47.025453459729789</v>
      </c>
      <c r="E61" s="58">
        <f>'Interim Balance Sheet Reported'!E61/'Interim Balance Sheet US$'!E$7</f>
        <v>19.498049999999999</v>
      </c>
      <c r="F61" s="58">
        <f>'Interim Balance Sheet Reported'!F61/'Interim Balance Sheet US$'!F$7</f>
        <v>0</v>
      </c>
      <c r="G61" s="58">
        <f>'Interim Balance Sheet Reported'!G61/'Interim Balance Sheet US$'!G$7</f>
        <v>0</v>
      </c>
      <c r="H61" s="58">
        <f>'Interim Balance Sheet Reported'!H61/'Interim Balance Sheet US$'!H$7</f>
        <v>0</v>
      </c>
      <c r="I61" s="58">
        <f>'Interim Balance Sheet Reported'!I61/'Interim Balance Sheet US$'!I$7</f>
        <v>0</v>
      </c>
      <c r="J61" s="58">
        <f>'Interim Balance Sheet Reported'!J61/'Interim Balance Sheet US$'!J$7</f>
        <v>0</v>
      </c>
      <c r="K61" s="58">
        <f>'Interim Balance Sheet Reported'!K61/'Interim Balance Sheet US$'!K$7</f>
        <v>0</v>
      </c>
      <c r="L61" s="58">
        <f>'Interim Balance Sheet Reported'!L61/'Interim Balance Sheet US$'!L$7</f>
        <v>0</v>
      </c>
      <c r="M61" s="58">
        <f>'Interim Balance Sheet Reported'!M61/'Interim Balance Sheet US$'!M$7</f>
        <v>0</v>
      </c>
      <c r="N61" s="58">
        <f>'Interim Balance Sheet Reported'!N61/'Interim Balance Sheet US$'!N$7</f>
        <v>0</v>
      </c>
      <c r="O61" s="58">
        <f>'Interim Balance Sheet Reported'!O61/'Interim Balance Sheet US$'!O$7</f>
        <v>0</v>
      </c>
      <c r="P61" s="58">
        <f>'Interim Balance Sheet Reported'!P61/'Interim Balance Sheet US$'!P$7</f>
        <v>0</v>
      </c>
      <c r="Q61" s="58">
        <f>'Interim Balance Sheet Reported'!Q61/'Interim Balance Sheet US$'!Q$7</f>
        <v>0</v>
      </c>
      <c r="R61" s="58">
        <f>'Interim Balance Sheet Reported'!R61/'Interim Balance Sheet US$'!R$7</f>
        <v>0</v>
      </c>
      <c r="S61" s="58">
        <f>'Interim Balance Sheet Reported'!S61/'Interim Balance Sheet US$'!S$7</f>
        <v>0</v>
      </c>
      <c r="T61" s="58">
        <f>'Interim Balance Sheet Reported'!T61/'Interim Balance Sheet US$'!T$7</f>
        <v>0</v>
      </c>
      <c r="U61" s="58">
        <f>'Interim Balance Sheet Reported'!U61/'Interim Balance Sheet US$'!U$7</f>
        <v>0</v>
      </c>
      <c r="V61" s="58">
        <f>'Interim Balance Sheet Reported'!V61/'Interim Balance Sheet US$'!V$7</f>
        <v>0</v>
      </c>
      <c r="W61" s="58">
        <f>'Interim Balance Sheet Reported'!W61/'Interim Balance Sheet US$'!W$7</f>
        <v>0</v>
      </c>
      <c r="X61" s="58">
        <f>'Interim Balance Sheet Reported'!X61/'Interim Balance Sheet US$'!X$7</f>
        <v>0</v>
      </c>
      <c r="Y61" s="58">
        <f>'Interim Balance Sheet Reported'!Y61/'Interim Balance Sheet US$'!Y$7</f>
        <v>0</v>
      </c>
      <c r="Z61" s="58">
        <f>'Interim Balance Sheet Reported'!Z61/'Interim Balance Sheet US$'!Z$7</f>
        <v>0</v>
      </c>
      <c r="AA61" s="58">
        <f>'Interim Balance Sheet Reported'!AA61/'Interim Balance Sheet US$'!AA$7</f>
        <v>0</v>
      </c>
      <c r="AB61" s="58">
        <f>'Interim Balance Sheet Reported'!AB61/'Interim Balance Sheet US$'!AB$7</f>
        <v>0</v>
      </c>
    </row>
    <row r="62" spans="1:28" x14ac:dyDescent="0.3">
      <c r="A62" s="85" t="s">
        <v>117</v>
      </c>
      <c r="B62" s="58">
        <f>'Interim Balance Sheet Reported'!B62/'Interim Balance Sheet US$'!B$7</f>
        <v>59.62654950572729</v>
      </c>
      <c r="C62" s="58">
        <f>'Interim Balance Sheet Reported'!C62/'Interim Balance Sheet US$'!C$7</f>
        <v>60.576690089653503</v>
      </c>
      <c r="D62" s="58">
        <f>'Interim Balance Sheet Reported'!D62/'Interim Balance Sheet US$'!D$7</f>
        <v>58.968425766962746</v>
      </c>
      <c r="E62" s="58">
        <f>'Interim Balance Sheet Reported'!E62/'Interim Balance Sheet US$'!E$7</f>
        <v>54.883399999999995</v>
      </c>
      <c r="F62" s="58">
        <f>'Interim Balance Sheet Reported'!F62/'Interim Balance Sheet US$'!F$7</f>
        <v>61.761754033814555</v>
      </c>
      <c r="G62" s="58">
        <f>'Interim Balance Sheet Reported'!G62/'Interim Balance Sheet US$'!G$7</f>
        <v>60.334158415841586</v>
      </c>
      <c r="H62" s="58">
        <f>'Interim Balance Sheet Reported'!H62/'Interim Balance Sheet US$'!H$7</f>
        <v>61.704883065437649</v>
      </c>
      <c r="I62" s="58">
        <f>'Interim Balance Sheet Reported'!I62/'Interim Balance Sheet US$'!I$7</f>
        <v>61.824953445065177</v>
      </c>
      <c r="J62" s="58">
        <f>'Interim Balance Sheet Reported'!J62/'Interim Balance Sheet US$'!J$7</f>
        <v>54.062171497221811</v>
      </c>
      <c r="K62" s="58">
        <f>'Interim Balance Sheet Reported'!K62/'Interim Balance Sheet US$'!K$7</f>
        <v>51.848512173128945</v>
      </c>
      <c r="L62" s="58">
        <f>'Interim Balance Sheet Reported'!L62/'Interim Balance Sheet US$'!L$7</f>
        <v>53.475935828877006</v>
      </c>
      <c r="M62" s="58">
        <f>'Interim Balance Sheet Reported'!M62/'Interim Balance Sheet US$'!M$7</f>
        <v>54.888234826187258</v>
      </c>
      <c r="N62" s="58">
        <f>'Interim Balance Sheet Reported'!N62/'Interim Balance Sheet US$'!N$7</f>
        <v>53.488372093023251</v>
      </c>
      <c r="O62" s="58">
        <f>'Interim Balance Sheet Reported'!O62/'Interim Balance Sheet US$'!O$7</f>
        <v>54.821639319297979</v>
      </c>
      <c r="P62" s="58">
        <f>'Interim Balance Sheet Reported'!P62/'Interim Balance Sheet US$'!P$7</f>
        <v>56.554074992252872</v>
      </c>
      <c r="Q62" s="58">
        <f>'Interim Balance Sheet Reported'!Q62/'Interim Balance Sheet US$'!Q$7</f>
        <v>55.094395063542201</v>
      </c>
      <c r="R62" s="58">
        <f>'Interim Balance Sheet Reported'!R62/'Interim Balance Sheet US$'!R$7</f>
        <v>57.682223387519663</v>
      </c>
      <c r="S62" s="58">
        <f>'Interim Balance Sheet Reported'!S62/'Interim Balance Sheet US$'!S$7</f>
        <v>61.855670103092791</v>
      </c>
      <c r="T62" s="58">
        <f>'Interim Balance Sheet Reported'!T62/'Interim Balance Sheet US$'!T$7</f>
        <v>61.174551386623172</v>
      </c>
      <c r="U62" s="58">
        <f>'Interim Balance Sheet Reported'!U62/'Interim Balance Sheet US$'!U$7</f>
        <v>63.895304080061592</v>
      </c>
      <c r="V62" s="58">
        <f>'Interim Balance Sheet Reported'!V62/'Interim Balance Sheet US$'!V$7</f>
        <v>61.625156859647184</v>
      </c>
      <c r="W62" s="58">
        <f>'Interim Balance Sheet Reported'!W62/'Interim Balance Sheet US$'!W$7</f>
        <v>68.503241013553335</v>
      </c>
      <c r="X62" s="58">
        <f>'Interim Balance Sheet Reported'!X62/'Interim Balance Sheet US$'!X$7</f>
        <v>72.81735605435027</v>
      </c>
      <c r="Y62" s="58">
        <f>'Interim Balance Sheet Reported'!Y62/'Interim Balance Sheet US$'!Y$7</f>
        <v>73.568050446663165</v>
      </c>
      <c r="Z62" s="58">
        <f>'Interim Balance Sheet Reported'!Z62/'Interim Balance Sheet US$'!Z$7</f>
        <v>75.612862145813438</v>
      </c>
      <c r="AA62" s="58">
        <f>'Interim Balance Sheet Reported'!AA62/'Interim Balance Sheet US$'!AA$7</f>
        <v>79.864472410454979</v>
      </c>
      <c r="AB62" s="58">
        <f>'Interim Balance Sheet Reported'!AB62/'Interim Balance Sheet US$'!AB$7</f>
        <v>80.416272469252604</v>
      </c>
    </row>
    <row r="63" spans="1:28" x14ac:dyDescent="0.3">
      <c r="A63" s="85" t="s">
        <v>118</v>
      </c>
      <c r="B63" s="58">
        <f>'Interim Balance Sheet Reported'!B63/'Interim Balance Sheet US$'!B$7</f>
        <v>-1714.2632982896596</v>
      </c>
      <c r="C63" s="58">
        <f>'Interim Balance Sheet Reported'!C63/'Interim Balance Sheet US$'!C$7</f>
        <v>-1100.0726920281077</v>
      </c>
      <c r="D63" s="58">
        <f>'Interim Balance Sheet Reported'!D63/'Interim Balance Sheet US$'!D$7</f>
        <v>-761.3644845861013</v>
      </c>
      <c r="E63" s="58">
        <f>'Interim Balance Sheet Reported'!E63/'Interim Balance Sheet US$'!E$7</f>
        <v>-633.32554999999991</v>
      </c>
      <c r="F63" s="58">
        <f>'Interim Balance Sheet Reported'!F63/'Interim Balance Sheet US$'!F$7</f>
        <v>-1247.5874314830539</v>
      </c>
      <c r="G63" s="58">
        <f>'Interim Balance Sheet Reported'!G63/'Interim Balance Sheet US$'!G$7</f>
        <v>-1212.0977722772277</v>
      </c>
      <c r="H63" s="58">
        <f>'Interim Balance Sheet Reported'!H63/'Interim Balance Sheet US$'!H$7</f>
        <v>-540.10817399253449</v>
      </c>
      <c r="I63" s="58">
        <f>'Interim Balance Sheet Reported'!I63/'Interim Balance Sheet US$'!I$7</f>
        <v>250.27932960893855</v>
      </c>
      <c r="J63" s="58">
        <f>'Interim Balance Sheet Reported'!J63/'Interim Balance Sheet US$'!J$7</f>
        <v>48.055263553086057</v>
      </c>
      <c r="K63" s="58">
        <f>'Interim Balance Sheet Reported'!K63/'Interim Balance Sheet US$'!K$7</f>
        <v>251.72828373910431</v>
      </c>
      <c r="L63" s="58">
        <f>'Interim Balance Sheet Reported'!L63/'Interim Balance Sheet US$'!L$7</f>
        <v>1728.5309845863478</v>
      </c>
      <c r="M63" s="58">
        <f>'Interim Balance Sheet Reported'!M63/'Interim Balance Sheet US$'!M$7</f>
        <v>1997.4544586747277</v>
      </c>
      <c r="N63" s="58">
        <f>'Interim Balance Sheet Reported'!N63/'Interim Balance Sheet US$'!N$7</f>
        <v>1889.1472868217054</v>
      </c>
      <c r="O63" s="58">
        <f>'Interim Balance Sheet Reported'!O63/'Interim Balance Sheet US$'!O$7</f>
        <v>2311.6457912970645</v>
      </c>
      <c r="P63" s="58">
        <f>'Interim Balance Sheet Reported'!P63/'Interim Balance Sheet US$'!P$7</f>
        <v>2843.1980167338088</v>
      </c>
      <c r="Q63" s="58">
        <f>'Interim Balance Sheet Reported'!Q63/'Interim Balance Sheet US$'!Q$7</f>
        <v>1765.9590097700727</v>
      </c>
      <c r="R63" s="58">
        <f>'Interim Balance Sheet Reported'!R63/'Interim Balance Sheet US$'!R$7</f>
        <v>1811.3716383249682</v>
      </c>
      <c r="S63" s="58">
        <f>'Interim Balance Sheet Reported'!S63/'Interim Balance Sheet US$'!S$7</f>
        <v>1909.1256204658268</v>
      </c>
      <c r="T63" s="58">
        <f>'Interim Balance Sheet Reported'!T63/'Interim Balance Sheet US$'!T$7</f>
        <v>2380.520814452299</v>
      </c>
      <c r="U63" s="58">
        <f>'Interim Balance Sheet Reported'!U63/'Interim Balance Sheet US$'!U$7</f>
        <v>2699.7690531177832</v>
      </c>
      <c r="V63" s="58">
        <f>'Interim Balance Sheet Reported'!V63/'Interim Balance Sheet US$'!V$7</f>
        <v>2441.6312148874003</v>
      </c>
      <c r="W63" s="58">
        <f>'Interim Balance Sheet Reported'!W63/'Interim Balance Sheet US$'!W$7</f>
        <v>490.57159693576904</v>
      </c>
      <c r="X63" s="58">
        <f>'Interim Balance Sheet Reported'!X63/'Interim Balance Sheet US$'!X$7</f>
        <v>259.74025974025972</v>
      </c>
      <c r="Y63" s="58">
        <f>'Interim Balance Sheet Reported'!Y63/'Interim Balance Sheet US$'!Y$7</f>
        <v>-370.84302980256734</v>
      </c>
      <c r="Z63" s="58">
        <f>'Interim Balance Sheet Reported'!Z63/'Interim Balance Sheet US$'!Z$7</f>
        <v>-1109.5192613817255</v>
      </c>
      <c r="AA63" s="58">
        <f>'Interim Balance Sheet Reported'!AA63/'Interim Balance Sheet US$'!AA$7</f>
        <v>-1801.3875443691513</v>
      </c>
      <c r="AB63" s="58">
        <f>'Interim Balance Sheet Reported'!AB63/'Interim Balance Sheet US$'!AB$7</f>
        <v>-2091.6114790286974</v>
      </c>
    </row>
    <row r="64" spans="1:28" x14ac:dyDescent="0.3">
      <c r="A64" s="85" t="s">
        <v>119</v>
      </c>
      <c r="B64" s="58">
        <f>'Interim Balance Sheet Reported'!B64/'Interim Balance Sheet US$'!B$7</f>
        <v>0</v>
      </c>
      <c r="C64" s="58">
        <f>'Interim Balance Sheet Reported'!C64/'Interim Balance Sheet US$'!C$7</f>
        <v>0</v>
      </c>
      <c r="D64" s="58">
        <f>'Interim Balance Sheet Reported'!D64/'Interim Balance Sheet US$'!D$7</f>
        <v>0</v>
      </c>
      <c r="E64" s="58">
        <f>'Interim Balance Sheet Reported'!E64/'Interim Balance Sheet US$'!E$7</f>
        <v>-7.943649999999999</v>
      </c>
      <c r="F64" s="58">
        <f>'Interim Balance Sheet Reported'!F64/'Interim Balance Sheet US$'!F$7</f>
        <v>-6.1761754033814551</v>
      </c>
      <c r="G64" s="58">
        <f>'Interim Balance Sheet Reported'!G64/'Interim Balance Sheet US$'!G$7</f>
        <v>7.7351485148514856</v>
      </c>
      <c r="H64" s="58">
        <f>'Interim Balance Sheet Reported'!H64/'Interim Balance Sheet US$'!H$7</f>
        <v>-5.3325207587415253</v>
      </c>
      <c r="I64" s="58">
        <f>'Interim Balance Sheet Reported'!I64/'Interim Balance Sheet US$'!I$7</f>
        <v>2.2346368715083798</v>
      </c>
      <c r="J64" s="58">
        <f>'Interim Balance Sheet Reported'!J64/'Interim Balance Sheet US$'!J$7</f>
        <v>-1.5017269860339393</v>
      </c>
      <c r="K64" s="58">
        <f>'Interim Balance Sheet Reported'!K64/'Interim Balance Sheet US$'!K$7</f>
        <v>-0.75142771265404273</v>
      </c>
      <c r="L64" s="58">
        <f>'Interim Balance Sheet Reported'!L64/'Interim Balance Sheet US$'!L$7</f>
        <v>0</v>
      </c>
      <c r="M64" s="58">
        <f>'Interim Balance Sheet Reported'!M64/'Interim Balance Sheet US$'!M$7</f>
        <v>0</v>
      </c>
      <c r="N64" s="58">
        <f>'Interim Balance Sheet Reported'!N64/'Interim Balance Sheet US$'!N$7</f>
        <v>0</v>
      </c>
      <c r="O64" s="58">
        <f>'Interim Balance Sheet Reported'!O64/'Interim Balance Sheet US$'!O$7</f>
        <v>0</v>
      </c>
      <c r="P64" s="58">
        <f>'Interim Balance Sheet Reported'!P64/'Interim Balance Sheet US$'!P$7</f>
        <v>3.0988534242330341</v>
      </c>
      <c r="Q64" s="58">
        <f>'Interim Balance Sheet Reported'!Q64/'Interim Balance Sheet US$'!Q$7</f>
        <v>0</v>
      </c>
      <c r="R64" s="58">
        <f>'Interim Balance Sheet Reported'!R64/'Interim Balance Sheet US$'!R$7</f>
        <v>0</v>
      </c>
      <c r="S64" s="58">
        <f>'Interim Balance Sheet Reported'!S64/'Interim Balance Sheet US$'!S$7</f>
        <v>-3.054600992745323</v>
      </c>
      <c r="T64" s="58">
        <f>'Interim Balance Sheet Reported'!T64/'Interim Balance Sheet US$'!T$7</f>
        <v>14.349586127726422</v>
      </c>
      <c r="U64" s="58">
        <f>'Interim Balance Sheet Reported'!U64/'Interim Balance Sheet US$'!U$7</f>
        <v>19.24557351809084</v>
      </c>
      <c r="V64" s="58">
        <f>'Interim Balance Sheet Reported'!V64/'Interim Balance Sheet US$'!V$7</f>
        <v>-36.125091952206972</v>
      </c>
      <c r="W64" s="58">
        <f>'Interim Balance Sheet Reported'!W64/'Interim Balance Sheet US$'!W$7</f>
        <v>-37.566293459045376</v>
      </c>
      <c r="X64" s="58">
        <f>'Interim Balance Sheet Reported'!X64/'Interim Balance Sheet US$'!X$7</f>
        <v>-47.293746715712032</v>
      </c>
      <c r="Y64" s="58">
        <f>'Interim Balance Sheet Reported'!Y64/'Interim Balance Sheet US$'!Y$7</f>
        <v>-29.277081300202685</v>
      </c>
      <c r="Z64" s="58">
        <f>'Interim Balance Sheet Reported'!Z64/'Interim Balance Sheet US$'!Z$7</f>
        <v>-20.694046482012098</v>
      </c>
      <c r="AA64" s="58">
        <f>'Interim Balance Sheet Reported'!AA64/'Interim Balance Sheet US$'!AA$7</f>
        <v>-18.55437237818651</v>
      </c>
      <c r="AB64" s="58">
        <f>'Interim Balance Sheet Reported'!AB64/'Interim Balance Sheet US$'!AB$7</f>
        <v>-29.959003468937244</v>
      </c>
    </row>
    <row r="65" spans="1:28" x14ac:dyDescent="0.3">
      <c r="A65" s="85" t="s">
        <v>120</v>
      </c>
      <c r="B65" s="58">
        <f>'Interim Balance Sheet Reported'!B65/'Interim Balance Sheet US$'!B$7</f>
        <v>0</v>
      </c>
      <c r="C65" s="58">
        <f>'Interim Balance Sheet Reported'!C65/'Interim Balance Sheet US$'!C$7</f>
        <v>0</v>
      </c>
      <c r="D65" s="58">
        <f>'Interim Balance Sheet Reported'!D65/'Interim Balance Sheet US$'!D$7</f>
        <v>0</v>
      </c>
      <c r="E65" s="58">
        <f>'Interim Balance Sheet Reported'!E65/'Interim Balance Sheet US$'!E$7</f>
        <v>0</v>
      </c>
      <c r="F65" s="58">
        <f>'Interim Balance Sheet Reported'!F65/'Interim Balance Sheet US$'!F$7</f>
        <v>0</v>
      </c>
      <c r="G65" s="58">
        <f>'Interim Balance Sheet Reported'!G65/'Interim Balance Sheet US$'!G$7</f>
        <v>0</v>
      </c>
      <c r="H65" s="58">
        <f>'Interim Balance Sheet Reported'!H65/'Interim Balance Sheet US$'!H$7</f>
        <v>0</v>
      </c>
      <c r="I65" s="58">
        <f>'Interim Balance Sheet Reported'!I65/'Interim Balance Sheet US$'!I$7</f>
        <v>0</v>
      </c>
      <c r="J65" s="58">
        <f>'Interim Balance Sheet Reported'!J65/'Interim Balance Sheet US$'!J$7</f>
        <v>0</v>
      </c>
      <c r="K65" s="58">
        <f>'Interim Balance Sheet Reported'!K65/'Interim Balance Sheet US$'!K$7</f>
        <v>0</v>
      </c>
      <c r="L65" s="58">
        <f>'Interim Balance Sheet Reported'!L65/'Interim Balance Sheet US$'!L$7</f>
        <v>0</v>
      </c>
      <c r="M65" s="58">
        <f>'Interim Balance Sheet Reported'!M65/'Interim Balance Sheet US$'!M$7</f>
        <v>0</v>
      </c>
      <c r="N65" s="58">
        <f>'Interim Balance Sheet Reported'!N65/'Interim Balance Sheet US$'!N$7</f>
        <v>0</v>
      </c>
      <c r="O65" s="58">
        <f>'Interim Balance Sheet Reported'!O65/'Interim Balance Sheet US$'!O$7</f>
        <v>0</v>
      </c>
      <c r="P65" s="58">
        <f>'Interim Balance Sheet Reported'!P65/'Interim Balance Sheet US$'!P$7</f>
        <v>0</v>
      </c>
      <c r="Q65" s="58">
        <f>'Interim Balance Sheet Reported'!Q65/'Interim Balance Sheet US$'!Q$7</f>
        <v>0</v>
      </c>
      <c r="R65" s="58">
        <f>'Interim Balance Sheet Reported'!R65/'Interim Balance Sheet US$'!R$7</f>
        <v>0</v>
      </c>
      <c r="S65" s="58">
        <f>'Interim Balance Sheet Reported'!S65/'Interim Balance Sheet US$'!S$7</f>
        <v>0</v>
      </c>
      <c r="T65" s="58">
        <f>'Interim Balance Sheet Reported'!T65/'Interim Balance Sheet US$'!T$7</f>
        <v>0</v>
      </c>
      <c r="U65" s="58">
        <f>'Interim Balance Sheet Reported'!U65/'Interim Balance Sheet US$'!U$7</f>
        <v>0</v>
      </c>
      <c r="V65" s="58">
        <f>'Interim Balance Sheet Reported'!V65/'Interim Balance Sheet US$'!V$7</f>
        <v>0</v>
      </c>
      <c r="W65" s="58">
        <f>'Interim Balance Sheet Reported'!W65/'Interim Balance Sheet US$'!W$7</f>
        <v>0</v>
      </c>
      <c r="X65" s="58">
        <f>'Interim Balance Sheet Reported'!X65/'Interim Balance Sheet US$'!X$7</f>
        <v>0</v>
      </c>
      <c r="Y65" s="58">
        <f>'Interim Balance Sheet Reported'!Y65/'Interim Balance Sheet US$'!Y$7</f>
        <v>0</v>
      </c>
      <c r="Z65" s="58">
        <f>'Interim Balance Sheet Reported'!Z65/'Interim Balance Sheet US$'!Z$7</f>
        <v>0</v>
      </c>
      <c r="AA65" s="58">
        <f>'Interim Balance Sheet Reported'!AA65/'Interim Balance Sheet US$'!AA$7</f>
        <v>0</v>
      </c>
      <c r="AB65" s="58">
        <f>'Interim Balance Sheet Reported'!AB65/'Interim Balance Sheet US$'!AB$7</f>
        <v>0</v>
      </c>
    </row>
    <row r="66" spans="1:28" ht="15" thickBot="1" x14ac:dyDescent="0.35">
      <c r="A66" s="14" t="s">
        <v>121</v>
      </c>
      <c r="B66" s="24">
        <f>SUM(B59:B65)</f>
        <v>-951.67111250588425</v>
      </c>
      <c r="C66" s="24">
        <f>SUM(C59:C65)</f>
        <v>-313.38341006380745</v>
      </c>
      <c r="D66" s="24">
        <f t="shared" ref="D66:I66" si="64">SUM(D59:D65)</f>
        <v>-38.068224229305088</v>
      </c>
      <c r="E66" s="24">
        <f t="shared" si="64"/>
        <v>28.886000000000017</v>
      </c>
      <c r="F66" s="24">
        <f t="shared" si="64"/>
        <v>-565.12004940940312</v>
      </c>
      <c r="G66" s="24">
        <f t="shared" si="64"/>
        <v>-520.57549504950487</v>
      </c>
      <c r="H66" s="24">
        <f t="shared" si="64"/>
        <v>122.64797745105516</v>
      </c>
      <c r="I66" s="24">
        <f t="shared" si="64"/>
        <v>908.00744878957175</v>
      </c>
      <c r="J66" s="24">
        <f>SUM(J59:J65)</f>
        <v>694.54873104069691</v>
      </c>
      <c r="K66" s="24">
        <f>SUM(K59:K65)</f>
        <v>899.45897204688913</v>
      </c>
      <c r="L66" s="24">
        <f>SUM(L59:L65)</f>
        <v>2411.9219880465553</v>
      </c>
      <c r="M66" s="24">
        <f>SUM(M59:M65)</f>
        <v>2687.9325431548805</v>
      </c>
      <c r="N66" s="24">
        <f t="shared" ref="N66" si="65">SUM(N59:N65)</f>
        <v>2563.5658914728683</v>
      </c>
      <c r="O66" s="24">
        <f>SUM(O59:O65)</f>
        <v>2974.8353447291274</v>
      </c>
      <c r="P66" s="24">
        <f>SUM(P59:P65)</f>
        <v>3524.945770065076</v>
      </c>
      <c r="Q66" s="24">
        <f>SUM(Q59:Q65)</f>
        <v>2407.2577683097038</v>
      </c>
      <c r="R66" s="24">
        <f t="shared" ref="R66:S66" si="66">SUM(R59:R65)</f>
        <v>2463.8549704097686</v>
      </c>
      <c r="S66" s="24">
        <f t="shared" si="66"/>
        <v>2570.4467353951891</v>
      </c>
      <c r="T66" s="24">
        <f t="shared" ref="T66:U66" si="67">SUM(T59:T65)</f>
        <v>3053.4408797051542</v>
      </c>
      <c r="U66" s="24">
        <f t="shared" si="67"/>
        <v>3387.2209391839879</v>
      </c>
      <c r="V66" s="24">
        <f t="shared" ref="V66:Y66" si="68">SUM(V59:V65)</f>
        <v>3018.216015850076</v>
      </c>
      <c r="W66" s="24">
        <f t="shared" si="68"/>
        <v>1504.8615203299942</v>
      </c>
      <c r="X66" s="24">
        <f t="shared" si="68"/>
        <v>1287.4408828166052</v>
      </c>
      <c r="Y66" s="24">
        <f t="shared" si="68"/>
        <v>1287.4408828166052</v>
      </c>
      <c r="Z66" s="24">
        <f t="shared" ref="Z66:AA66" si="69">SUM(Z59:Z65)</f>
        <v>719.51607768226665</v>
      </c>
      <c r="AA66" s="24">
        <f t="shared" si="69"/>
        <v>465.47273313972266</v>
      </c>
      <c r="AB66" s="24">
        <f t="shared" ref="AB66" si="70">SUM(AB59:AB65)</f>
        <v>114.31725007884005</v>
      </c>
    </row>
    <row r="67" spans="1:28" ht="15" thickTop="1" x14ac:dyDescent="0.3">
      <c r="A67" s="14"/>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row>
    <row r="68" spans="1:28" ht="15" thickBot="1" x14ac:dyDescent="0.35">
      <c r="A68" s="14" t="s">
        <v>469</v>
      </c>
      <c r="B68" s="24">
        <f t="shared" ref="B68:K68" ca="1" si="71">IFERROR(B34+B73, "N/A")</f>
        <v>11105.669508445499</v>
      </c>
      <c r="C68" s="24">
        <f t="shared" ca="1" si="71"/>
        <v>12014.027923170976</v>
      </c>
      <c r="D68" s="24">
        <f t="shared" ca="1" si="71"/>
        <v>11540.46998375162</v>
      </c>
      <c r="E68" s="24">
        <f t="shared" ca="1" si="71"/>
        <v>11499.344797579342</v>
      </c>
      <c r="F68" s="24">
        <f t="shared" ca="1" si="71"/>
        <v>12464.18833562177</v>
      </c>
      <c r="G68" s="24">
        <f t="shared" ca="1" si="71"/>
        <v>13415.788091269837</v>
      </c>
      <c r="H68" s="24">
        <f t="shared" ca="1" si="71"/>
        <v>13639.041101571016</v>
      </c>
      <c r="I68" s="24">
        <f t="shared" ca="1" si="71"/>
        <v>13700.001901749536</v>
      </c>
      <c r="J68" s="24">
        <f t="shared" ca="1" si="71"/>
        <v>14428.200218572285</v>
      </c>
      <c r="K68" s="24">
        <f t="shared" ca="1" si="71"/>
        <v>15101.103494592307</v>
      </c>
      <c r="L68" s="24">
        <f t="shared" ref="L68:P68" ca="1" si="72">IFERROR(L34+L73, "N/A")</f>
        <v>16348.106357523329</v>
      </c>
      <c r="M68" s="24">
        <f t="shared" ca="1" si="72"/>
        <v>16791.273844922915</v>
      </c>
      <c r="N68" s="24">
        <f t="shared" ca="1" si="72"/>
        <v>17465.31222939186</v>
      </c>
      <c r="O68" s="24">
        <f t="shared" ca="1" si="72"/>
        <v>18083.897583883441</v>
      </c>
      <c r="P68" s="24">
        <f t="shared" ca="1" si="72"/>
        <v>18108.679429455198</v>
      </c>
      <c r="Q68" s="24">
        <f t="shared" ref="Q68:S68" ca="1" si="73">IFERROR(Q34+Q73, "N/A")</f>
        <v>18872.879375090488</v>
      </c>
      <c r="R68" s="24">
        <f t="shared" ca="1" si="73"/>
        <v>22504.886861837287</v>
      </c>
      <c r="S68" s="24">
        <f t="shared" ca="1" si="73"/>
        <v>22561.131359235413</v>
      </c>
      <c r="T68" s="24">
        <f t="shared" ref="T68:U68" ca="1" si="74">IFERROR(T34+T73, "N/A")</f>
        <v>21471.747925149295</v>
      </c>
      <c r="U68" s="24">
        <f t="shared" ca="1" si="74"/>
        <v>21369.515011547344</v>
      </c>
      <c r="V68" s="24">
        <f t="shared" ref="V68:Y68" ca="1" si="75">IFERROR(V34+V73, "N/A")</f>
        <v>20071.384422700718</v>
      </c>
      <c r="W68" s="24">
        <f t="shared" ca="1" si="75"/>
        <v>21659.546258102535</v>
      </c>
      <c r="X68" s="24">
        <f t="shared" ca="1" si="75"/>
        <v>21439.081150063808</v>
      </c>
      <c r="Y68" s="24">
        <f t="shared" ca="1" si="75"/>
        <v>21704.826964942571</v>
      </c>
      <c r="Z68" s="24">
        <f t="shared" ref="Z68:AA68" ca="1" si="76">IFERROR(Z34+Z73, "N/A")</f>
        <v>21859.280483922317</v>
      </c>
      <c r="AA68" s="24">
        <f t="shared" ca="1" si="76"/>
        <v>21381.090674411102</v>
      </c>
      <c r="AB68" s="24">
        <f t="shared" ref="AB68" ca="1" si="77">IFERROR(AB34+AB73, "N/A")</f>
        <v>23888.363292336802</v>
      </c>
    </row>
    <row r="69" spans="1:28" ht="15" thickTop="1" x14ac:dyDescent="0.3">
      <c r="A69" s="8" t="s">
        <v>122</v>
      </c>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x14ac:dyDescent="0.3">
      <c r="A70" s="85" t="s">
        <v>123</v>
      </c>
      <c r="B70" s="21">
        <f>B35+B36+B45+B46+B47</f>
        <v>4555.9391181547153</v>
      </c>
      <c r="C70" s="21">
        <f t="shared" ref="C70:K70" si="78">C35+C36+C45+C46+C47</f>
        <v>4540.0209999192311</v>
      </c>
      <c r="D70" s="21">
        <f>D35+D36+D45+D46+D47</f>
        <v>4581.6227513622443</v>
      </c>
      <c r="E70" s="21">
        <f t="shared" si="78"/>
        <v>4617.4270999999999</v>
      </c>
      <c r="F70" s="21">
        <f t="shared" si="78"/>
        <v>4977.9973751254529</v>
      </c>
      <c r="G70" s="21">
        <f t="shared" si="78"/>
        <v>5375.9282178217818</v>
      </c>
      <c r="H70" s="21">
        <f t="shared" si="78"/>
        <v>5314.9996191056598</v>
      </c>
      <c r="I70" s="21">
        <f t="shared" si="78"/>
        <v>4929.6089385474861</v>
      </c>
      <c r="J70" s="21">
        <f t="shared" si="78"/>
        <v>5093.8579366271224</v>
      </c>
      <c r="K70" s="21">
        <f t="shared" si="78"/>
        <v>5083.4084761045979</v>
      </c>
      <c r="L70" s="21">
        <f t="shared" ref="L70:P70" si="79">L35+L36+L45+L46+L47</f>
        <v>4977.194086190626</v>
      </c>
      <c r="M70" s="21">
        <f t="shared" si="79"/>
        <v>4867.5523029194183</v>
      </c>
      <c r="N70" s="21">
        <f t="shared" si="79"/>
        <v>5222.4806201550382</v>
      </c>
      <c r="O70" s="21">
        <f t="shared" si="79"/>
        <v>5335.9728937450027</v>
      </c>
      <c r="P70" s="21">
        <f t="shared" si="79"/>
        <v>5173.53579175705</v>
      </c>
      <c r="Q70" s="21">
        <f t="shared" ref="Q70:S70" si="80">Q35+Q36+Q45+Q46+Q47</f>
        <v>7287.8865790053624</v>
      </c>
      <c r="R70" s="21">
        <f t="shared" si="80"/>
        <v>7263.4654281219564</v>
      </c>
      <c r="S70" s="21">
        <f t="shared" si="80"/>
        <v>7217.2584956090122</v>
      </c>
      <c r="T70" s="21">
        <f t="shared" ref="T70:U70" si="81">T35+T36+T45+T46+T47</f>
        <v>7069.0592713431215</v>
      </c>
      <c r="U70" s="21">
        <f t="shared" si="81"/>
        <v>7114.7036181678213</v>
      </c>
      <c r="V70" s="21">
        <f t="shared" ref="V70:Y70" si="82">V35+V36+V45+V46+V47</f>
        <v>7574.2276126460602</v>
      </c>
      <c r="W70" s="21">
        <f t="shared" si="82"/>
        <v>10079.55215085445</v>
      </c>
      <c r="X70" s="21">
        <f t="shared" si="82"/>
        <v>9880.63959162225</v>
      </c>
      <c r="Y70" s="21">
        <f t="shared" si="82"/>
        <v>9750.7694617521192</v>
      </c>
      <c r="Z70" s="21">
        <f t="shared" ref="Z70:AA70" si="83">Z35+Z36+Z45+Z46+Z47</f>
        <v>10149.633874562242</v>
      </c>
      <c r="AA70" s="21">
        <f t="shared" si="83"/>
        <v>10282.349144885447</v>
      </c>
      <c r="AB70" s="21">
        <f t="shared" ref="AB70" si="84">AB35+AB36+AB45+AB46+AB47</f>
        <v>13152.002522863451</v>
      </c>
    </row>
    <row r="71" spans="1:28" x14ac:dyDescent="0.3">
      <c r="A71" s="85" t="s">
        <v>124</v>
      </c>
      <c r="B71" s="21">
        <f>B25+B26</f>
        <v>2235.9956064647731</v>
      </c>
      <c r="C71" s="21">
        <f t="shared" ref="C71:K71" si="85">C25+C26</f>
        <v>2440.0290768112432</v>
      </c>
      <c r="D71" s="21">
        <f t="shared" si="85"/>
        <v>2325.8938568336193</v>
      </c>
      <c r="E71" s="21">
        <f>E25+E26</f>
        <v>1929.5847999999999</v>
      </c>
      <c r="F71" s="21">
        <f t="shared" si="85"/>
        <v>2275.1486142206436</v>
      </c>
      <c r="G71" s="21">
        <f t="shared" si="85"/>
        <v>2435.0247524752476</v>
      </c>
      <c r="H71" s="21">
        <f t="shared" si="85"/>
        <v>2615.982326502628</v>
      </c>
      <c r="I71" s="21">
        <f t="shared" si="85"/>
        <v>2218.9944134078214</v>
      </c>
      <c r="J71" s="21">
        <f t="shared" si="85"/>
        <v>2721.1292986934977</v>
      </c>
      <c r="K71" s="21">
        <f t="shared" si="85"/>
        <v>3046.287947099489</v>
      </c>
      <c r="L71" s="21">
        <f t="shared" ref="L71:P71" si="86">L25+L26</f>
        <v>3251.8087448883293</v>
      </c>
      <c r="M71" s="21">
        <f t="shared" si="86"/>
        <v>3026.0122504176279</v>
      </c>
      <c r="N71" s="21">
        <f t="shared" si="86"/>
        <v>3485.2713178294575</v>
      </c>
      <c r="O71" s="21">
        <f t="shared" si="86"/>
        <v>3555.7924391822439</v>
      </c>
      <c r="P71" s="21">
        <f t="shared" si="86"/>
        <v>3813.139138518748</v>
      </c>
      <c r="Q71" s="21">
        <f t="shared" ref="Q71:S71" si="87">Q25+Q26</f>
        <v>3457.7242341879087</v>
      </c>
      <c r="R71" s="21">
        <f t="shared" si="87"/>
        <v>4401.8278522735782</v>
      </c>
      <c r="S71" s="21">
        <f t="shared" si="87"/>
        <v>4521.5731195112639</v>
      </c>
      <c r="T71" s="21">
        <f t="shared" ref="T71:U71" si="88">T25+T26</f>
        <v>4432.5116307171775</v>
      </c>
      <c r="U71" s="21">
        <f t="shared" si="88"/>
        <v>4533.4872979214779</v>
      </c>
      <c r="V71" s="21">
        <f t="shared" ref="V71:Y71" si="89">V25+V26</f>
        <v>4340.6777153553785</v>
      </c>
      <c r="W71" s="21">
        <f t="shared" si="89"/>
        <v>6367.1184443134953</v>
      </c>
      <c r="X71" s="21">
        <f t="shared" si="89"/>
        <v>5836.6489002327144</v>
      </c>
      <c r="Y71" s="21">
        <f t="shared" si="89"/>
        <v>5630.9586367389838</v>
      </c>
      <c r="Z71" s="21">
        <f t="shared" ref="Z71:AA71" si="90">Z25+Z26</f>
        <v>4750.8755173511618</v>
      </c>
      <c r="AA71" s="21">
        <f t="shared" si="90"/>
        <v>4108.5834140045172</v>
      </c>
      <c r="AB71" s="21">
        <f t="shared" ref="AB71" si="91">AB25+AB26</f>
        <v>6860.6117943866284</v>
      </c>
    </row>
    <row r="72" spans="1:28" x14ac:dyDescent="0.3">
      <c r="A72" s="85" t="s">
        <v>125</v>
      </c>
      <c r="B72" s="21">
        <f>B70-B71</f>
        <v>2319.9435116899422</v>
      </c>
      <c r="C72" s="21">
        <f t="shared" ref="C72:K72" si="92">C70-C71</f>
        <v>2099.991923107988</v>
      </c>
      <c r="D72" s="21">
        <f t="shared" si="92"/>
        <v>2255.728894528625</v>
      </c>
      <c r="E72" s="21">
        <f t="shared" si="92"/>
        <v>2687.8423000000003</v>
      </c>
      <c r="F72" s="21">
        <f t="shared" si="92"/>
        <v>2702.8487609048093</v>
      </c>
      <c r="G72" s="21">
        <f t="shared" si="92"/>
        <v>2940.9034653465342</v>
      </c>
      <c r="H72" s="21">
        <f t="shared" si="92"/>
        <v>2699.0172926030318</v>
      </c>
      <c r="I72" s="21">
        <f t="shared" si="92"/>
        <v>2710.6145251396647</v>
      </c>
      <c r="J72" s="21">
        <f t="shared" si="92"/>
        <v>2372.7286379336247</v>
      </c>
      <c r="K72" s="21">
        <f t="shared" si="92"/>
        <v>2037.1205290051089</v>
      </c>
      <c r="L72" s="21">
        <f t="shared" ref="L72:P72" si="93">L70-L71</f>
        <v>1725.3853413022966</v>
      </c>
      <c r="M72" s="21">
        <f t="shared" si="93"/>
        <v>1841.5400525017903</v>
      </c>
      <c r="N72" s="21">
        <f t="shared" si="93"/>
        <v>1737.2093023255807</v>
      </c>
      <c r="O72" s="21">
        <f t="shared" si="93"/>
        <v>1780.1804545627588</v>
      </c>
      <c r="P72" s="21">
        <f t="shared" si="93"/>
        <v>1360.396653238302</v>
      </c>
      <c r="Q72" s="21">
        <f t="shared" ref="Q72:S72" si="94">Q70-Q71</f>
        <v>3830.1623448174537</v>
      </c>
      <c r="R72" s="21">
        <f t="shared" si="94"/>
        <v>2861.6375758483782</v>
      </c>
      <c r="S72" s="21">
        <f t="shared" si="94"/>
        <v>2695.6853760977483</v>
      </c>
      <c r="T72" s="21">
        <f t="shared" ref="T72:U72" si="95">T70-T71</f>
        <v>2636.547640625944</v>
      </c>
      <c r="U72" s="21">
        <f t="shared" si="95"/>
        <v>2581.2163202463435</v>
      </c>
      <c r="V72" s="21">
        <f t="shared" ref="V72:Y72" si="96">V70-V71</f>
        <v>3233.5498972906817</v>
      </c>
      <c r="W72" s="21">
        <f t="shared" si="96"/>
        <v>3712.4337065409545</v>
      </c>
      <c r="X72" s="21">
        <f t="shared" si="96"/>
        <v>4043.9906913895356</v>
      </c>
      <c r="Y72" s="21">
        <f t="shared" si="96"/>
        <v>4119.8108250131354</v>
      </c>
      <c r="Z72" s="21">
        <f t="shared" ref="Z72:AA72" si="97">Z70-Z71</f>
        <v>5398.7583572110798</v>
      </c>
      <c r="AA72" s="21">
        <f t="shared" si="97"/>
        <v>6173.7657308809303</v>
      </c>
      <c r="AB72" s="21">
        <f t="shared" ref="AB72" si="98">AB70-AB71</f>
        <v>6291.3907284768229</v>
      </c>
    </row>
    <row r="73" spans="1:28" x14ac:dyDescent="0.3">
      <c r="A73" s="85" t="s">
        <v>126</v>
      </c>
      <c r="B73" s="21">
        <f ca="1">IFERROR(IF(Inputs!$E$14="Quarterly",IF(YEAR(B3)&lt;2016,-AVERAGE('Annual Income Statement US$'!$F$27,'Annual Income Statement US$'!$G$27)*7,-SUM(OFFSET('Interim Inc Statement US$'!B27,0,-3,,4))*7),IF(B3&lt;=DATE(2014,6,30),-AVERAGE('Annual Income Statement US$'!$E$27,'Annual Income Statement US$'!$F$27)*7,-SUM(OFFSET('Interim Inc Statement US$'!B27,0,-1,,2))*7)),"")</f>
        <v>2019.6817475793434</v>
      </c>
      <c r="C73" s="21">
        <f ca="1">IFERROR(IF(Inputs!$E$14="Quarterly",IF(YEAR(C3)&lt;2016,-AVERAGE('Annual Income Statement US$'!$F$27,'Annual Income Statement US$'!$G$27)*7,-SUM(OFFSET('Interim Inc Statement US$'!C27,0,-3,,4))*7),IF(C3&lt;=DATE(2014,6,30),-AVERAGE('Annual Income Statement US$'!$E$27,'Annual Income Statement US$'!$F$27)*7,-SUM(OFFSET('Interim Inc Statement US$'!C27,0,-1,,2))*7)),"")</f>
        <v>2019.6817475793434</v>
      </c>
      <c r="D73" s="21">
        <f ca="1">IFERROR(IF(Inputs!$E$14="Quarterly",IF(YEAR(D3)&lt;2016,-AVERAGE('Annual Income Statement US$'!$F$27,'Annual Income Statement US$'!$G$27)*7,-SUM(OFFSET('Interim Inc Statement US$'!D27,0,-3,,4))*7),IF(D3&lt;=DATE(2014,6,30),-AVERAGE('Annual Income Statement US$'!$E$27,'Annual Income Statement US$'!$F$27)*7,-SUM(OFFSET('Interim Inc Statement US$'!D27,0,-1,,2))*7)),"")</f>
        <v>2019.6817475793434</v>
      </c>
      <c r="E73" s="21">
        <f ca="1">IFERROR(IF(Inputs!$E$14="Quarterly",IF(YEAR(E3)&lt;2016,-AVERAGE('Annual Income Statement US$'!$F$27,'Annual Income Statement US$'!$G$27)*7,-SUM(OFFSET('Interim Inc Statement US$'!E27,0,-3,,4))*7),IF(E3&lt;=DATE(2014,6,30),-AVERAGE('Annual Income Statement US$'!$E$27,'Annual Income Statement US$'!$F$27)*7,-SUM(OFFSET('Interim Inc Statement US$'!E27,0,-1,,2))*7)),"")</f>
        <v>2019.6817475793434</v>
      </c>
      <c r="F73" s="21">
        <f ca="1">IFERROR(IF(Inputs!$E$14="Quarterly",IF(YEAR(F3)&lt;2016,-AVERAGE('Annual Income Statement US$'!$F$27,'Annual Income Statement US$'!$G$27)*7,-SUM(OFFSET('Interim Inc Statement US$'!F27,0,-3,,4))*7),IF(F3&lt;=DATE(2014,6,30),-AVERAGE('Annual Income Statement US$'!$E$27,'Annual Income Statement US$'!$F$27)*7,-SUM(OFFSET('Interim Inc Statement US$'!F27,0,-1,,2))*7)),"")</f>
        <v>2039.576276639297</v>
      </c>
      <c r="G73" s="21">
        <f ca="1">IFERROR(IF(Inputs!$E$14="Quarterly",IF(YEAR(G3)&lt;2016,-AVERAGE('Annual Income Statement US$'!$F$27,'Annual Income Statement US$'!$G$27)*7,-SUM(OFFSET('Interim Inc Statement US$'!G27,0,-3,,4))*7),IF(G3&lt;=DATE(2014,6,30),-AVERAGE('Annual Income Statement US$'!$E$27,'Annual Income Statement US$'!$F$27)*7,-SUM(OFFSET('Interim Inc Statement US$'!G27,0,-1,,2))*7)),"")</f>
        <v>2169.6556655272616</v>
      </c>
      <c r="H73" s="21">
        <f ca="1">IFERROR(IF(Inputs!$E$14="Quarterly",IF(YEAR(H3)&lt;2016,-AVERAGE('Annual Income Statement US$'!$F$27,'Annual Income Statement US$'!$G$27)*7,-SUM(OFFSET('Interim Inc Statement US$'!H27,0,-3,,4))*7),IF(H3&lt;=DATE(2014,6,30),-AVERAGE('Annual Income Statement US$'!$E$27,'Annual Income Statement US$'!$F$27)*7,-SUM(OFFSET('Interim Inc Statement US$'!H27,0,-1,,2))*7)),"")</f>
        <v>2326.4792062407819</v>
      </c>
      <c r="I73" s="21">
        <f ca="1">IFERROR(IF(Inputs!$E$14="Quarterly",IF(YEAR(I3)&lt;2016,-AVERAGE('Annual Income Statement US$'!$F$27,'Annual Income Statement US$'!$G$27)*7,-SUM(OFFSET('Interim Inc Statement US$'!I27,0,-3,,4))*7),IF(I3&lt;=DATE(2014,6,30),-AVERAGE('Annual Income Statement US$'!$E$27,'Annual Income Statement US$'!$F$27)*7,-SUM(OFFSET('Interim Inc Statement US$'!I27,0,-1,,2))*7)),"")</f>
        <v>2441.9013430903169</v>
      </c>
      <c r="J73" s="21">
        <f ca="1">IFERROR(IF(Inputs!$E$14="Quarterly",IF(YEAR(J3)&lt;2016,-AVERAGE('Annual Income Statement US$'!$F$27,'Annual Income Statement US$'!$G$27)*7,-SUM(OFFSET('Interim Inc Statement US$'!J27,0,-3,,4))*7),IF(J3&lt;=DATE(2014,6,30),-AVERAGE('Annual Income Statement US$'!$E$27,'Annual Income Statement US$'!$F$27)*7,-SUM(OFFSET('Interim Inc Statement US$'!J27,0,-1,,2))*7)),"")</f>
        <v>2516.5017653510804</v>
      </c>
      <c r="K73" s="21">
        <f ca="1">IFERROR(IF(Inputs!$E$14="Quarterly",IF(YEAR(K3)&lt;2016,-AVERAGE('Annual Income Statement US$'!$F$27,'Annual Income Statement US$'!$G$27)*7,-SUM(OFFSET('Interim Inc Statement US$'!K27,0,-3,,4))*7),IF(K3&lt;=DATE(2014,6,30),-AVERAGE('Annual Income Statement US$'!$E$27,'Annual Income Statement US$'!$F$27)*7,-SUM(OFFSET('Interim Inc Statement US$'!K27,0,-1,,2))*7)),"")</f>
        <v>2583.8206572012646</v>
      </c>
      <c r="L73" s="21">
        <f ca="1">IFERROR(IF(Inputs!$E$14="Quarterly",IF(YEAR(L3)&lt;2016,-AVERAGE('Annual Income Statement US$'!$F$27,'Annual Income Statement US$'!$G$27)*7,-SUM(OFFSET('Interim Inc Statement US$'!L27,0,-3,,4))*7),IF(L3&lt;=DATE(2014,6,30),-AVERAGE('Annual Income Statement US$'!$E$27,'Annual Income Statement US$'!$F$27)*7,-SUM(OFFSET('Interim Inc Statement US$'!L27,0,-1,,2))*7)),"")</f>
        <v>2648.0434446576492</v>
      </c>
      <c r="M73" s="21">
        <f ca="1">IFERROR(IF(Inputs!$E$14="Quarterly",IF(YEAR(M3)&lt;2016,-AVERAGE('Annual Income Statement US$'!$F$27,'Annual Income Statement US$'!$G$27)*7,-SUM(OFFSET('Interim Inc Statement US$'!M27,0,-3,,4))*7),IF(M3&lt;=DATE(2014,6,30),-AVERAGE('Annual Income Statement US$'!$E$27,'Annual Income Statement US$'!$F$27)*7,-SUM(OFFSET('Interim Inc Statement US$'!M27,0,-1,,2))*7)),"")</f>
        <v>2712.8393528379561</v>
      </c>
      <c r="N73" s="21">
        <f ca="1">IFERROR(IF(Inputs!$E$14="Quarterly",IF(YEAR(N3)&lt;2016,-AVERAGE('Annual Income Statement US$'!$F$27,'Annual Income Statement US$'!$G$27)*7,-SUM(OFFSET('Interim Inc Statement US$'!N27,0,-3,,4))*7),IF(N3&lt;=DATE(2014,6,30),-AVERAGE('Annual Income Statement US$'!$E$27,'Annual Income Statement US$'!$F$27)*7,-SUM(OFFSET('Interim Inc Statement US$'!N27,0,-1,,2))*7)),"")</f>
        <v>2759.8858728027144</v>
      </c>
      <c r="O73" s="21">
        <f ca="1">IFERROR(IF(Inputs!$E$14="Quarterly",IF(YEAR(O3)&lt;2016,-AVERAGE('Annual Income Statement US$'!$F$27,'Annual Income Statement US$'!$G$27)*7,-SUM(OFFSET('Interim Inc Statement US$'!O27,0,-3,,4))*7),IF(O3&lt;=DATE(2014,6,30),-AVERAGE('Annual Income Statement US$'!$E$27,'Annual Income Statement US$'!$F$27)*7,-SUM(OFFSET('Interim Inc Statement US$'!O27,0,-1,,2))*7)),"")</f>
        <v>2751.3510425958921</v>
      </c>
      <c r="P73" s="21">
        <f ca="1">IFERROR(IF(Inputs!$E$14="Quarterly",IF(YEAR(P3)&lt;2016,-AVERAGE('Annual Income Statement US$'!$F$27,'Annual Income Statement US$'!$G$27)*7,-SUM(OFFSET('Interim Inc Statement US$'!P27,0,-3,,4))*7),IF(P3&lt;=DATE(2014,6,30),-AVERAGE('Annual Income Statement US$'!$E$27,'Annual Income Statement US$'!$F$27)*7,-SUM(OFFSET('Interim Inc Statement US$'!P27,0,-1,,2))*7)),"")</f>
        <v>2787.1733866910208</v>
      </c>
      <c r="Q73" s="21">
        <f ca="1">IFERROR(IF(Inputs!$E$14="Quarterly",IF(YEAR(Q3)&lt;2016,-AVERAGE('Annual Income Statement US$'!$F$27,'Annual Income Statement US$'!$G$27)*7,-SUM(OFFSET('Interim Inc Statement US$'!Q27,0,-3,,4))*7),IF(Q3&lt;=DATE(2014,6,30),-AVERAGE('Annual Income Statement US$'!$E$27,'Annual Income Statement US$'!$F$27)*7,-SUM(OFFSET('Interim Inc Statement US$'!Q27,0,-1,,2))*7)),"")</f>
        <v>2797.8040794172357</v>
      </c>
      <c r="R73" s="21">
        <f ca="1">IFERROR(IF(Inputs!$E$14="Quarterly",IF(YEAR(R3)&lt;2016,-AVERAGE('Annual Income Statement US$'!$F$27,'Annual Income Statement US$'!$G$27)*7,-SUM(OFFSET('Interim Inc Statement US$'!R27,0,-3,,4))*7),IF(R3&lt;=DATE(2014,6,30),-AVERAGE('Annual Income Statement US$'!$E$27,'Annual Income Statement US$'!$F$27)*7,-SUM(OFFSET('Interim Inc Statement US$'!R27,0,-1,,2))*7)),"")</f>
        <v>2105.6060168301697</v>
      </c>
      <c r="S73" s="21">
        <f ca="1">IFERROR(IF(Inputs!$E$14="Quarterly",IF(YEAR(S3)&lt;2016,-AVERAGE('Annual Income Statement US$'!$F$27,'Annual Income Statement US$'!$G$27)*7,-SUM(OFFSET('Interim Inc Statement US$'!S27,0,-3,,4))*7),IF(S3&lt;=DATE(2014,6,30),-AVERAGE('Annual Income Statement US$'!$E$27,'Annual Income Statement US$'!$F$27)*7,-SUM(OFFSET('Interim Inc Statement US$'!S27,0,-1,,2))*7)),"")</f>
        <v>1438.5654944015059</v>
      </c>
      <c r="T73" s="21">
        <f ca="1">IFERROR(IF(Inputs!$E$14="Quarterly",IF(YEAR(T3)&lt;2016,-AVERAGE('Annual Income Statement US$'!$F$27,'Annual Income Statement US$'!$G$27)*7,-SUM(OFFSET('Interim Inc Statement US$'!T27,0,-3,,4))*7),IF(T3&lt;=DATE(2014,6,30),-AVERAGE('Annual Income Statement US$'!$E$27,'Annual Income Statement US$'!$F$27)*7,-SUM(OFFSET('Interim Inc Statement US$'!T27,0,-1,,2))*7)),"")</f>
        <v>704.87583282858884</v>
      </c>
      <c r="U73" s="21">
        <f ca="1">IFERROR(IF(Inputs!$E$14="Quarterly",IF(YEAR(U3)&lt;2016,-AVERAGE('Annual Income Statement US$'!$F$27,'Annual Income Statement US$'!$G$27)*7,-SUM(OFFSET('Interim Inc Statement US$'!U27,0,-3,,4))*7),IF(U3&lt;=DATE(2014,6,30),-AVERAGE('Annual Income Statement US$'!$E$27,'Annual Income Statement US$'!$F$27)*7,-SUM(OFFSET('Interim Inc Statement US$'!U27,0,-1,,2))*7)),"")</f>
        <v>0</v>
      </c>
      <c r="V73" s="21">
        <f ca="1">IFERROR(IF(Inputs!$E$14="Quarterly",IF(YEAR(V3)&lt;2016,-AVERAGE('Annual Income Statement US$'!$F$27,'Annual Income Statement US$'!$G$27)*7,-SUM(OFFSET('Interim Inc Statement US$'!V27,0,-3,,4))*7),IF(V3&lt;=DATE(2014,6,30),-AVERAGE('Annual Income Statement US$'!$E$27,'Annual Income Statement US$'!$F$27)*7,-SUM(OFFSET('Interim Inc Statement US$'!V27,0,-1,,2))*7)),"")</f>
        <v>0</v>
      </c>
      <c r="W73" s="21">
        <f ca="1">IFERROR(IF(Inputs!$E$14="Quarterly",IF(YEAR(W3)&lt;2016,-AVERAGE('Annual Income Statement US$'!$F$27,'Annual Income Statement US$'!$G$27)*7,-SUM(OFFSET('Interim Inc Statement US$'!W27,0,-3,,4))*7),IF(W3&lt;=DATE(2014,6,30),-AVERAGE('Annual Income Statement US$'!$E$27,'Annual Income Statement US$'!$F$27)*7,-SUM(OFFSET('Interim Inc Statement US$'!W27,0,-1,,2))*7)),"")</f>
        <v>0</v>
      </c>
      <c r="X73" s="21">
        <f ca="1">IFERROR(IF(Inputs!$E$14="Quarterly",IF(YEAR(X3)&lt;2016,-AVERAGE('Annual Income Statement US$'!$F$27,'Annual Income Statement US$'!$G$27)*7,-SUM(OFFSET('Interim Inc Statement US$'!X27,0,-3,,4))*7),IF(X3&lt;=DATE(2014,6,30),-AVERAGE('Annual Income Statement US$'!$E$27,'Annual Income Statement US$'!$F$27)*7,-SUM(OFFSET('Interim Inc Statement US$'!X27,0,-1,,2))*7)),"")</f>
        <v>0</v>
      </c>
      <c r="Y73" s="21">
        <f ca="1">IFERROR(IF(Inputs!$E$14="Quarterly",IF(YEAR(Y3)&lt;2016,-AVERAGE('Annual Income Statement US$'!$F$27,'Annual Income Statement US$'!$G$27)*7,-SUM(OFFSET('Interim Inc Statement US$'!Y27,0,-3,,4))*7),IF(Y3&lt;=DATE(2014,6,30),-AVERAGE('Annual Income Statement US$'!$E$27,'Annual Income Statement US$'!$F$27)*7,-SUM(OFFSET('Interim Inc Statement US$'!Y27,0,-1,,2))*7)),"")</f>
        <v>0</v>
      </c>
      <c r="Z73" s="21">
        <f ca="1">IFERROR(IF(Inputs!$E$14="Quarterly",IF(YEAR(Z3)&lt;2016,-AVERAGE('Annual Income Statement US$'!$F$27,'Annual Income Statement US$'!$G$27)*7,-SUM(OFFSET('Interim Inc Statement US$'!Z27,0,-3,,4))*7),IF(Z3&lt;=DATE(2014,6,30),-AVERAGE('Annual Income Statement US$'!$E$27,'Annual Income Statement US$'!$F$27)*7,-SUM(OFFSET('Interim Inc Statement US$'!Z27,0,-1,,2))*7)),"")</f>
        <v>0</v>
      </c>
      <c r="AA73" s="21">
        <f ca="1">IFERROR(IF(Inputs!$E$14="Quarterly",IF(YEAR(AA3)&lt;2016,-AVERAGE('Annual Income Statement US$'!$F$27,'Annual Income Statement US$'!$G$27)*7,-SUM(OFFSET('Interim Inc Statement US$'!AA27,0,-3,,4))*7),IF(AA3&lt;=DATE(2014,6,30),-AVERAGE('Annual Income Statement US$'!$E$27,'Annual Income Statement US$'!$F$27)*7,-SUM(OFFSET('Interim Inc Statement US$'!AA27,0,-1,,2))*7)),"")</f>
        <v>0</v>
      </c>
      <c r="AB73" s="21">
        <f ca="1">IFERROR(IF(Inputs!$E$14="Quarterly",IF(YEAR(AB3)&lt;2016,-AVERAGE('Annual Income Statement US$'!$F$27,'Annual Income Statement US$'!$G$27)*7,-SUM(OFFSET('Interim Inc Statement US$'!AB27,0,-3,,4))*7),IF(AB3&lt;=DATE(2014,6,30),-AVERAGE('Annual Income Statement US$'!$E$27,'Annual Income Statement US$'!$F$27)*7,-SUM(OFFSET('Interim Inc Statement US$'!AB27,0,-1,,2))*7)),"")</f>
        <v>0</v>
      </c>
    </row>
    <row r="74" spans="1:28" x14ac:dyDescent="0.3">
      <c r="A74" s="85" t="s">
        <v>127</v>
      </c>
      <c r="B74" s="21">
        <v>0</v>
      </c>
      <c r="C74" s="21">
        <v>0</v>
      </c>
      <c r="D74" s="21">
        <v>0</v>
      </c>
      <c r="E74" s="21">
        <v>0</v>
      </c>
      <c r="F74" s="21">
        <v>0</v>
      </c>
      <c r="G74" s="21">
        <v>0</v>
      </c>
      <c r="H74" s="21">
        <v>0</v>
      </c>
      <c r="I74" s="21">
        <v>0</v>
      </c>
      <c r="J74" s="21">
        <v>0</v>
      </c>
      <c r="K74" s="21">
        <v>0</v>
      </c>
      <c r="L74" s="21">
        <v>0</v>
      </c>
      <c r="M74" s="21">
        <v>0</v>
      </c>
      <c r="N74" s="21">
        <v>0</v>
      </c>
      <c r="O74" s="21">
        <v>0</v>
      </c>
      <c r="P74" s="21">
        <v>0</v>
      </c>
      <c r="Q74" s="21">
        <v>0</v>
      </c>
      <c r="R74" s="21">
        <v>0</v>
      </c>
      <c r="S74" s="21">
        <v>0</v>
      </c>
      <c r="T74" s="21">
        <v>0</v>
      </c>
      <c r="U74" s="21">
        <v>0</v>
      </c>
      <c r="V74" s="21">
        <v>0</v>
      </c>
      <c r="W74" s="21">
        <v>0</v>
      </c>
      <c r="X74" s="21">
        <v>0</v>
      </c>
      <c r="Y74" s="21">
        <v>0</v>
      </c>
      <c r="Z74" s="21">
        <v>0</v>
      </c>
      <c r="AA74" s="21">
        <v>0</v>
      </c>
      <c r="AB74" s="21">
        <v>0</v>
      </c>
    </row>
    <row r="75" spans="1:28" x14ac:dyDescent="0.3">
      <c r="A75" s="14" t="s">
        <v>128</v>
      </c>
      <c r="B75" s="22">
        <f ca="1">IFERROR(B72+B73,"")</f>
        <v>4339.6252592692854</v>
      </c>
      <c r="C75" s="22">
        <f t="shared" ref="C75:K75" ca="1" si="99">IFERROR(C72+C73,"")</f>
        <v>4119.6736706873317</v>
      </c>
      <c r="D75" s="22">
        <f t="shared" ca="1" si="99"/>
        <v>4275.4106421079687</v>
      </c>
      <c r="E75" s="22">
        <f t="shared" ca="1" si="99"/>
        <v>4707.5240475793435</v>
      </c>
      <c r="F75" s="22">
        <f t="shared" ca="1" si="99"/>
        <v>4742.4250375441061</v>
      </c>
      <c r="G75" s="22">
        <f t="shared" ca="1" si="99"/>
        <v>5110.5591308737958</v>
      </c>
      <c r="H75" s="22">
        <f t="shared" ca="1" si="99"/>
        <v>5025.4964988438132</v>
      </c>
      <c r="I75" s="22">
        <f t="shared" ca="1" si="99"/>
        <v>5152.5158682299816</v>
      </c>
      <c r="J75" s="22">
        <f t="shared" ca="1" si="99"/>
        <v>4889.2304032847051</v>
      </c>
      <c r="K75" s="22">
        <f t="shared" ca="1" si="99"/>
        <v>4620.9411862063735</v>
      </c>
      <c r="L75" s="22">
        <f t="shared" ref="L75:P75" ca="1" si="100">IFERROR(L72+L73,"")</f>
        <v>4373.4287859599463</v>
      </c>
      <c r="M75" s="22">
        <f t="shared" ca="1" si="100"/>
        <v>4554.3794053397469</v>
      </c>
      <c r="N75" s="22">
        <f t="shared" ca="1" si="100"/>
        <v>4497.0951751282955</v>
      </c>
      <c r="O75" s="22">
        <f t="shared" ca="1" si="100"/>
        <v>4531.5314971586504</v>
      </c>
      <c r="P75" s="22">
        <f t="shared" ca="1" si="100"/>
        <v>4147.5700399293228</v>
      </c>
      <c r="Q75" s="22">
        <f t="shared" ref="Q75:S75" ca="1" si="101">IFERROR(Q72+Q73,"")</f>
        <v>6627.9664242346898</v>
      </c>
      <c r="R75" s="22">
        <f t="shared" ca="1" si="101"/>
        <v>4967.2435926785474</v>
      </c>
      <c r="S75" s="22">
        <f t="shared" ca="1" si="101"/>
        <v>4134.2508704992542</v>
      </c>
      <c r="T75" s="22">
        <f t="shared" ref="T75:U75" ca="1" si="102">IFERROR(T72+T73,"")</f>
        <v>3341.423473454533</v>
      </c>
      <c r="U75" s="22">
        <f t="shared" ca="1" si="102"/>
        <v>2581.2163202463435</v>
      </c>
      <c r="V75" s="22">
        <f t="shared" ref="V75:Y75" ca="1" si="103">IFERROR(V72+V73,"")</f>
        <v>3233.5498972906817</v>
      </c>
      <c r="W75" s="22">
        <f t="shared" ca="1" si="103"/>
        <v>3712.4337065409545</v>
      </c>
      <c r="X75" s="22">
        <f t="shared" ca="1" si="103"/>
        <v>4043.9906913895356</v>
      </c>
      <c r="Y75" s="22">
        <f t="shared" ca="1" si="103"/>
        <v>4119.8108250131354</v>
      </c>
      <c r="Z75" s="22">
        <f t="shared" ref="Z75:AA75" ca="1" si="104">IFERROR(Z72+Z73,"")</f>
        <v>5398.7583572110798</v>
      </c>
      <c r="AA75" s="22">
        <f t="shared" ca="1" si="104"/>
        <v>6173.7657308809303</v>
      </c>
      <c r="AB75" s="22">
        <f t="shared" ref="AB75" ca="1" si="105">IFERROR(AB72+AB73,"")</f>
        <v>6291.3907284768229</v>
      </c>
    </row>
    <row r="76" spans="1:28" x14ac:dyDescent="0.3">
      <c r="A76" s="85" t="s">
        <v>129</v>
      </c>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row>
    <row r="77" spans="1:28" x14ac:dyDescent="0.3">
      <c r="A77" s="85" t="s">
        <v>130</v>
      </c>
      <c r="B77" s="40"/>
      <c r="C77" s="40"/>
      <c r="D77" s="40"/>
      <c r="E77" s="40"/>
      <c r="F77" s="40"/>
      <c r="G77" s="40"/>
      <c r="H77" s="40"/>
      <c r="I77" s="40"/>
      <c r="J77" s="234"/>
      <c r="K77" s="234"/>
      <c r="L77" s="234"/>
      <c r="M77" s="234"/>
      <c r="N77" s="40"/>
      <c r="O77" s="234"/>
      <c r="P77" s="234"/>
      <c r="Q77" s="234"/>
      <c r="R77" s="234"/>
      <c r="S77" s="234"/>
      <c r="T77" s="234"/>
      <c r="U77" s="234"/>
      <c r="V77" s="234"/>
      <c r="W77" s="234"/>
      <c r="X77" s="234"/>
      <c r="Y77" s="234"/>
      <c r="Z77" s="234"/>
      <c r="AA77" s="234"/>
      <c r="AB77" s="234"/>
    </row>
    <row r="78" spans="1:28" x14ac:dyDescent="0.3">
      <c r="A78" s="85" t="s">
        <v>131</v>
      </c>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row>
    <row r="79" spans="1:28" x14ac:dyDescent="0.3">
      <c r="A79" s="85" t="s">
        <v>132</v>
      </c>
      <c r="B79" s="2">
        <f>IFERROR(B36/B70,"")</f>
        <v>9.5574306871017742E-2</v>
      </c>
      <c r="C79" s="2">
        <f t="shared" ref="C79:K79" si="106">IFERROR(C36/C70,"")</f>
        <v>9.393346379647749E-2</v>
      </c>
      <c r="D79" s="2">
        <f t="shared" si="106"/>
        <v>9.156076898012383E-2</v>
      </c>
      <c r="E79" s="2">
        <f t="shared" si="106"/>
        <v>8.1951829840475443E-2</v>
      </c>
      <c r="F79" s="2">
        <f t="shared" si="106"/>
        <v>7.0874689826302725E-2</v>
      </c>
      <c r="G79" s="2">
        <f t="shared" si="106"/>
        <v>7.899280575539569E-2</v>
      </c>
      <c r="H79" s="2">
        <f t="shared" si="106"/>
        <v>8.9866704887487464E-2</v>
      </c>
      <c r="I79" s="2">
        <f t="shared" si="106"/>
        <v>0.10682985796313085</v>
      </c>
      <c r="J79" s="2">
        <f t="shared" si="106"/>
        <v>0.12160966981132075</v>
      </c>
      <c r="K79" s="2">
        <f t="shared" si="106"/>
        <v>0.12875092387287509</v>
      </c>
      <c r="L79" s="2">
        <f t="shared" ref="L79:P79" si="107">IFERROR(L36/L70,"")</f>
        <v>0.12150418707536735</v>
      </c>
      <c r="M79" s="2">
        <f t="shared" si="107"/>
        <v>0.10965844092171924</v>
      </c>
      <c r="N79" s="2">
        <f t="shared" si="107"/>
        <v>9.2029093068131215E-2</v>
      </c>
      <c r="O79" s="2">
        <f t="shared" si="107"/>
        <v>6.2928082191780824E-2</v>
      </c>
      <c r="P79" s="2">
        <f t="shared" si="107"/>
        <v>6.4690026954177901E-2</v>
      </c>
      <c r="Q79" s="2">
        <f t="shared" ref="Q79:S79" si="108">IFERROR(Q36/Q70,"")</f>
        <v>6.450962604576152E-2</v>
      </c>
      <c r="R79" s="2">
        <f t="shared" si="108"/>
        <v>0.13221947194719472</v>
      </c>
      <c r="S79" s="2">
        <f t="shared" si="108"/>
        <v>0.1321553274785737</v>
      </c>
      <c r="T79" s="2">
        <f t="shared" ref="T79:U79" si="109">IFERROR(T36/T70,"")</f>
        <v>0.13290598290598291</v>
      </c>
      <c r="U79" s="2">
        <f t="shared" si="109"/>
        <v>6.8275265094135479E-2</v>
      </c>
      <c r="V79" s="2">
        <f t="shared" ref="V79:Y79" si="110">IFERROR(V36/V70,"")</f>
        <v>9.7540447021415899E-2</v>
      </c>
      <c r="W79" s="2">
        <f t="shared" si="110"/>
        <v>0.23648056123940367</v>
      </c>
      <c r="X79" s="2">
        <f t="shared" si="110"/>
        <v>0.15202856708706883</v>
      </c>
      <c r="Y79" s="2">
        <f t="shared" si="110"/>
        <v>4.1881592116406192E-2</v>
      </c>
      <c r="Z79" s="2">
        <f t="shared" ref="Z79:AA79" si="111">IFERROR(Z36/Z70,"")</f>
        <v>8.4927854454203269E-2</v>
      </c>
      <c r="AA79" s="2">
        <f t="shared" si="111"/>
        <v>3.8286521261572254E-2</v>
      </c>
      <c r="AB79" s="2">
        <f t="shared" ref="AB79" si="112">IFERROR(AB36/AB70,"")</f>
        <v>2.9792590816448864E-2</v>
      </c>
    </row>
    <row r="80" spans="1:28" x14ac:dyDescent="0.3">
      <c r="A80" s="8" t="s">
        <v>133</v>
      </c>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row>
    <row r="81" spans="1:28" x14ac:dyDescent="0.3">
      <c r="A81" s="85" t="s">
        <v>134</v>
      </c>
      <c r="B81" s="21">
        <f>B25+B26</f>
        <v>2235.9956064647731</v>
      </c>
      <c r="C81" s="21">
        <f t="shared" ref="C81:K81" si="113">C25+C26</f>
        <v>2440.0290768112432</v>
      </c>
      <c r="D81" s="21">
        <f t="shared" si="113"/>
        <v>2325.8938568336193</v>
      </c>
      <c r="E81" s="21">
        <f t="shared" si="113"/>
        <v>1929.5847999999999</v>
      </c>
      <c r="F81" s="21">
        <f t="shared" si="113"/>
        <v>2275.1486142206436</v>
      </c>
      <c r="G81" s="21">
        <f t="shared" si="113"/>
        <v>2435.0247524752476</v>
      </c>
      <c r="H81" s="21">
        <f t="shared" si="113"/>
        <v>2615.982326502628</v>
      </c>
      <c r="I81" s="21">
        <f t="shared" si="113"/>
        <v>2218.9944134078214</v>
      </c>
      <c r="J81" s="21">
        <f t="shared" si="113"/>
        <v>2721.1292986934977</v>
      </c>
      <c r="K81" s="21">
        <f t="shared" si="113"/>
        <v>3046.287947099489</v>
      </c>
      <c r="L81" s="21">
        <f t="shared" ref="L81:P81" si="114">L25+L26</f>
        <v>3251.8087448883293</v>
      </c>
      <c r="M81" s="21">
        <f t="shared" si="114"/>
        <v>3026.0122504176279</v>
      </c>
      <c r="N81" s="21">
        <f t="shared" si="114"/>
        <v>3485.2713178294575</v>
      </c>
      <c r="O81" s="21">
        <f t="shared" si="114"/>
        <v>3555.7924391822439</v>
      </c>
      <c r="P81" s="21">
        <f t="shared" si="114"/>
        <v>3813.139138518748</v>
      </c>
      <c r="Q81" s="21">
        <f t="shared" ref="Q81:S81" si="115">Q25+Q26</f>
        <v>3457.7242341879087</v>
      </c>
      <c r="R81" s="21">
        <f t="shared" si="115"/>
        <v>4401.8278522735782</v>
      </c>
      <c r="S81" s="21">
        <f t="shared" si="115"/>
        <v>4521.5731195112639</v>
      </c>
      <c r="T81" s="21">
        <f t="shared" ref="T81:U81" si="116">T25+T26</f>
        <v>4432.5116307171775</v>
      </c>
      <c r="U81" s="21">
        <f t="shared" si="116"/>
        <v>4533.4872979214779</v>
      </c>
      <c r="V81" s="21">
        <f t="shared" ref="V81:Y81" si="117">V25+V26</f>
        <v>4340.6777153553785</v>
      </c>
      <c r="W81" s="21">
        <f t="shared" si="117"/>
        <v>6367.1184443134953</v>
      </c>
      <c r="X81" s="21">
        <f t="shared" si="117"/>
        <v>5836.6489002327144</v>
      </c>
      <c r="Y81" s="21">
        <f t="shared" si="117"/>
        <v>5630.9586367389838</v>
      </c>
      <c r="Z81" s="21">
        <f t="shared" ref="Z81:AA81" si="118">Z25+Z26</f>
        <v>4750.8755173511618</v>
      </c>
      <c r="AA81" s="21">
        <f t="shared" si="118"/>
        <v>4108.5834140045172</v>
      </c>
      <c r="AB81" s="21">
        <f t="shared" ref="AB81" si="119">AB25+AB26</f>
        <v>6860.6117943866284</v>
      </c>
    </row>
    <row r="82" spans="1:28" x14ac:dyDescent="0.3">
      <c r="A82" s="85" t="s">
        <v>135</v>
      </c>
      <c r="B82" s="21">
        <f>B35+B36</f>
        <v>435.43072336419272</v>
      </c>
      <c r="C82" s="21">
        <f t="shared" ref="C82:K82" si="120">C35+C36</f>
        <v>426.45989823116065</v>
      </c>
      <c r="D82" s="21">
        <f t="shared" si="120"/>
        <v>419.49690229155777</v>
      </c>
      <c r="E82" s="21">
        <f t="shared" si="120"/>
        <v>378.40659999999997</v>
      </c>
      <c r="F82" s="21">
        <f t="shared" si="120"/>
        <v>352.81401991816563</v>
      </c>
      <c r="G82" s="21">
        <f t="shared" si="120"/>
        <v>424.65965346534654</v>
      </c>
      <c r="H82" s="21">
        <f t="shared" si="120"/>
        <v>477.64150224727661</v>
      </c>
      <c r="I82" s="21">
        <f t="shared" si="120"/>
        <v>526.6294227188082</v>
      </c>
      <c r="J82" s="21">
        <f t="shared" si="120"/>
        <v>619.46238173899997</v>
      </c>
      <c r="K82" s="21">
        <f t="shared" si="120"/>
        <v>654.49353772167115</v>
      </c>
      <c r="L82" s="21">
        <f t="shared" ref="L82:P82" si="121">L35+L36</f>
        <v>604.74992135891785</v>
      </c>
      <c r="M82" s="21">
        <f t="shared" si="121"/>
        <v>533.76819664306743</v>
      </c>
      <c r="N82" s="21">
        <f t="shared" si="121"/>
        <v>480.62015503875966</v>
      </c>
      <c r="O82" s="21">
        <f t="shared" si="121"/>
        <v>335.7825408307001</v>
      </c>
      <c r="P82" s="21">
        <f t="shared" si="121"/>
        <v>334.67616981716765</v>
      </c>
      <c r="Q82" s="21">
        <f t="shared" ref="Q82:S82" si="122">Q35+Q36</f>
        <v>769.85234702122966</v>
      </c>
      <c r="R82" s="21">
        <f t="shared" si="122"/>
        <v>960.37156341298976</v>
      </c>
      <c r="S82" s="21">
        <f t="shared" si="122"/>
        <v>953.79915998472711</v>
      </c>
      <c r="T82" s="21">
        <f t="shared" ref="T82:U82" si="123">T35+T36</f>
        <v>939.52027067850895</v>
      </c>
      <c r="U82" s="21">
        <f t="shared" si="123"/>
        <v>937.64434180138574</v>
      </c>
      <c r="V82" s="21">
        <f t="shared" ref="V82:Y82" si="124">V35+V36</f>
        <v>738.79354717944841</v>
      </c>
      <c r="W82" s="21">
        <f t="shared" si="124"/>
        <v>2383.6181496758986</v>
      </c>
      <c r="X82" s="21">
        <f t="shared" si="124"/>
        <v>1502.1394790180916</v>
      </c>
      <c r="Y82" s="21">
        <f t="shared" si="124"/>
        <v>1342.2415734554461</v>
      </c>
      <c r="Z82" s="21">
        <f t="shared" ref="Z82:AA82" si="125">Z35+Z36</f>
        <v>1297.35752944922</v>
      </c>
      <c r="AA82" s="21">
        <f t="shared" si="125"/>
        <v>816.3923846402065</v>
      </c>
      <c r="AB82" s="21">
        <f t="shared" ref="AB82" si="126">AB35+AB36</f>
        <v>800.22075055187634</v>
      </c>
    </row>
    <row r="83" spans="1:28" x14ac:dyDescent="0.3">
      <c r="A83" s="85" t="s">
        <v>136</v>
      </c>
      <c r="B83" s="21">
        <f>B29</f>
        <v>0</v>
      </c>
      <c r="C83" s="21">
        <f t="shared" ref="C83:K83" si="127">C29</f>
        <v>0</v>
      </c>
      <c r="D83" s="21">
        <f t="shared" si="127"/>
        <v>0</v>
      </c>
      <c r="E83" s="21">
        <f t="shared" si="127"/>
        <v>0</v>
      </c>
      <c r="F83" s="21">
        <f t="shared" si="127"/>
        <v>0</v>
      </c>
      <c r="G83" s="21">
        <f t="shared" si="127"/>
        <v>0</v>
      </c>
      <c r="H83" s="21">
        <f t="shared" si="127"/>
        <v>0</v>
      </c>
      <c r="I83" s="21">
        <f t="shared" si="127"/>
        <v>0</v>
      </c>
      <c r="J83" s="21">
        <f t="shared" si="127"/>
        <v>0</v>
      </c>
      <c r="K83" s="21">
        <f t="shared" si="127"/>
        <v>0</v>
      </c>
      <c r="L83" s="21">
        <f t="shared" ref="L83:P83" si="128">L29</f>
        <v>0</v>
      </c>
      <c r="M83" s="21">
        <f t="shared" si="128"/>
        <v>0</v>
      </c>
      <c r="N83" s="21">
        <f t="shared" si="128"/>
        <v>0</v>
      </c>
      <c r="O83" s="21">
        <f t="shared" si="128"/>
        <v>0</v>
      </c>
      <c r="P83" s="21">
        <f t="shared" si="128"/>
        <v>0</v>
      </c>
      <c r="Q83" s="21">
        <f t="shared" ref="Q83:S83" si="129">Q29</f>
        <v>0</v>
      </c>
      <c r="R83" s="21">
        <f t="shared" si="129"/>
        <v>0</v>
      </c>
      <c r="S83" s="21">
        <f t="shared" si="129"/>
        <v>0</v>
      </c>
      <c r="T83" s="21">
        <f t="shared" ref="T83:U83" si="130">T29</f>
        <v>0</v>
      </c>
      <c r="U83" s="21">
        <f t="shared" si="130"/>
        <v>0</v>
      </c>
      <c r="V83" s="21">
        <f t="shared" ref="V83:Y83" si="131">V29</f>
        <v>0</v>
      </c>
      <c r="W83" s="21">
        <f t="shared" si="131"/>
        <v>0</v>
      </c>
      <c r="X83" s="21">
        <f t="shared" si="131"/>
        <v>0</v>
      </c>
      <c r="Y83" s="21">
        <f t="shared" si="131"/>
        <v>0</v>
      </c>
      <c r="Z83" s="21">
        <f t="shared" ref="Z83:AA83" si="132">Z29</f>
        <v>0</v>
      </c>
      <c r="AA83" s="21">
        <f t="shared" si="132"/>
        <v>0</v>
      </c>
      <c r="AB83" s="21">
        <f t="shared" ref="AB83" si="133">AB29</f>
        <v>0</v>
      </c>
    </row>
    <row r="84" spans="1:28" x14ac:dyDescent="0.3">
      <c r="A84" s="85" t="s">
        <v>137</v>
      </c>
      <c r="B84" s="21">
        <f>B37</f>
        <v>0</v>
      </c>
      <c r="C84" s="21">
        <f t="shared" ref="C84:K84" si="134">C37</f>
        <v>0</v>
      </c>
      <c r="D84" s="21">
        <f t="shared" si="134"/>
        <v>0</v>
      </c>
      <c r="E84" s="21">
        <f t="shared" si="134"/>
        <v>0</v>
      </c>
      <c r="F84" s="21">
        <f t="shared" si="134"/>
        <v>0</v>
      </c>
      <c r="G84" s="21">
        <f t="shared" si="134"/>
        <v>0</v>
      </c>
      <c r="H84" s="21">
        <f t="shared" si="134"/>
        <v>0</v>
      </c>
      <c r="I84" s="21">
        <f t="shared" si="134"/>
        <v>0</v>
      </c>
      <c r="J84" s="21">
        <f t="shared" si="134"/>
        <v>0</v>
      </c>
      <c r="K84" s="21">
        <f t="shared" si="134"/>
        <v>0</v>
      </c>
      <c r="L84" s="21">
        <f t="shared" ref="L84:P84" si="135">L37</f>
        <v>0</v>
      </c>
      <c r="M84" s="21">
        <f t="shared" si="135"/>
        <v>0</v>
      </c>
      <c r="N84" s="21">
        <f t="shared" si="135"/>
        <v>0</v>
      </c>
      <c r="O84" s="21">
        <f t="shared" si="135"/>
        <v>0</v>
      </c>
      <c r="P84" s="21">
        <f t="shared" si="135"/>
        <v>0</v>
      </c>
      <c r="Q84" s="21">
        <f t="shared" ref="Q84:S84" si="136">Q37</f>
        <v>0</v>
      </c>
      <c r="R84" s="21">
        <f t="shared" si="136"/>
        <v>0</v>
      </c>
      <c r="S84" s="21">
        <f t="shared" si="136"/>
        <v>0</v>
      </c>
      <c r="T84" s="21">
        <f t="shared" ref="T84:U84" si="137">T37</f>
        <v>0</v>
      </c>
      <c r="U84" s="21">
        <f t="shared" si="137"/>
        <v>0</v>
      </c>
      <c r="V84" s="21">
        <f t="shared" ref="V84:Y84" si="138">V37</f>
        <v>0</v>
      </c>
      <c r="W84" s="21">
        <f t="shared" si="138"/>
        <v>0</v>
      </c>
      <c r="X84" s="21">
        <f t="shared" si="138"/>
        <v>0</v>
      </c>
      <c r="Y84" s="21">
        <f t="shared" si="138"/>
        <v>0</v>
      </c>
      <c r="Z84" s="21">
        <f t="shared" ref="Z84:AA84" si="139">Z37</f>
        <v>0</v>
      </c>
      <c r="AA84" s="21">
        <f t="shared" si="139"/>
        <v>0</v>
      </c>
      <c r="AB84" s="21">
        <f t="shared" ref="AB84" si="140">AB37</f>
        <v>0</v>
      </c>
    </row>
    <row r="85" spans="1:28" x14ac:dyDescent="0.3">
      <c r="A85" s="85" t="s">
        <v>138</v>
      </c>
      <c r="B85" s="21">
        <f>B81-B82+B83-B84</f>
        <v>1800.5648831005803</v>
      </c>
      <c r="C85" s="21">
        <f t="shared" ref="C85:K85" si="141">C81-C82+C83-C84</f>
        <v>2013.5691785800825</v>
      </c>
      <c r="D85" s="21">
        <f t="shared" si="141"/>
        <v>1906.3969545420616</v>
      </c>
      <c r="E85" s="21">
        <f t="shared" si="141"/>
        <v>1551.1781999999998</v>
      </c>
      <c r="F85" s="21">
        <f t="shared" si="141"/>
        <v>1922.3345943024779</v>
      </c>
      <c r="G85" s="21">
        <f t="shared" si="141"/>
        <v>2010.3650990099011</v>
      </c>
      <c r="H85" s="21">
        <f t="shared" si="141"/>
        <v>2138.3408242553514</v>
      </c>
      <c r="I85" s="21">
        <f t="shared" si="141"/>
        <v>1692.3649906890132</v>
      </c>
      <c r="J85" s="21">
        <f t="shared" si="141"/>
        <v>2101.6669169544975</v>
      </c>
      <c r="K85" s="21">
        <f t="shared" si="141"/>
        <v>2391.7944093778178</v>
      </c>
      <c r="L85" s="21">
        <f t="shared" ref="L85:P85" si="142">L81-L82+L83-L84</f>
        <v>2647.0588235294117</v>
      </c>
      <c r="M85" s="21">
        <f t="shared" si="142"/>
        <v>2492.2440537745606</v>
      </c>
      <c r="N85" s="21">
        <f t="shared" si="142"/>
        <v>3004.651162790698</v>
      </c>
      <c r="O85" s="21">
        <f t="shared" si="142"/>
        <v>3220.0098983515436</v>
      </c>
      <c r="P85" s="21">
        <f t="shared" si="142"/>
        <v>3478.4629687015804</v>
      </c>
      <c r="Q85" s="21">
        <f t="shared" ref="Q85:S85" si="143">Q81-Q82+Q83-Q84</f>
        <v>2687.8718871666788</v>
      </c>
      <c r="R85" s="21">
        <f t="shared" si="143"/>
        <v>3441.4562888605883</v>
      </c>
      <c r="S85" s="21">
        <f t="shared" si="143"/>
        <v>3567.7739595265366</v>
      </c>
      <c r="T85" s="21">
        <f t="shared" ref="T85:U85" si="144">T81-T82+T83-T84</f>
        <v>3492.9913600386685</v>
      </c>
      <c r="U85" s="21">
        <f t="shared" si="144"/>
        <v>3595.8429561200919</v>
      </c>
      <c r="V85" s="21">
        <f t="shared" ref="V85:Y85" si="145">V81-V82+V83-V84</f>
        <v>3601.88416817593</v>
      </c>
      <c r="W85" s="21">
        <f t="shared" si="145"/>
        <v>3983.5002946375967</v>
      </c>
      <c r="X85" s="21">
        <f t="shared" si="145"/>
        <v>4334.5094212146232</v>
      </c>
      <c r="Y85" s="21">
        <f t="shared" si="145"/>
        <v>4288.7170632835378</v>
      </c>
      <c r="Z85" s="21">
        <f t="shared" ref="Z85:AA85" si="146">Z81-Z82+Z83-Z84</f>
        <v>3453.5179879019415</v>
      </c>
      <c r="AA85" s="21">
        <f t="shared" si="146"/>
        <v>3292.1910293643105</v>
      </c>
      <c r="AB85" s="21">
        <f t="shared" ref="AB85" si="147">AB81-AB82+AB83-AB84</f>
        <v>6060.3910438347521</v>
      </c>
    </row>
    <row r="86" spans="1:28" x14ac:dyDescent="0.3">
      <c r="A86" s="85" t="s">
        <v>139</v>
      </c>
      <c r="B86" s="78">
        <f ca="1">IFERROR(IF(Inputs!$E$14="Quarterly",IF(YEAR(B3)=Inputs!$E$17,(B25+B26)/AVERAGE('Annual Income Statement US$'!$F$13,'Annual Income Statement US$'!$G$13),(B25+B26)/SUM(OFFSET('Interim Inc Statement US$'!B13,0,-3,,4))),IF(B3&lt;=DATE(Inputs!$E$17,Inputs!$E$15,Inputs!$E$16),(B25+B26)/AVERAGE('Annual Income Statement US$'!$E$13,'Annual Income Statement US$'!$F$13),(B25+B26)/SUM(OFFSET('Interim Inc Statement US$'!B13,0,-1,,2)))),"")</f>
        <v>0.18943153451803868</v>
      </c>
      <c r="C86" s="78">
        <f ca="1">IFERROR(IF(Inputs!$E$14="Quarterly",IF(YEAR(C3)=Inputs!$E$17,(C25+C26)/AVERAGE('Annual Income Statement US$'!$F$13,'Annual Income Statement US$'!$G$13),(C25+C26)/SUM(OFFSET('Interim Inc Statement US$'!C13,0,-3,,4))),IF(C3&lt;=DATE(Inputs!$E$17,Inputs!$E$15,Inputs!$E$16),(C25+C26)/AVERAGE('Annual Income Statement US$'!$E$13,'Annual Income Statement US$'!$F$13),(C25+C26)/SUM(OFFSET('Interim Inc Statement US$'!C13,0,-1,,2)))),"")</f>
        <v>0.20671706641668175</v>
      </c>
      <c r="D86" s="78">
        <f ca="1">IFERROR(IF(Inputs!$E$14="Quarterly",IF(YEAR(D3)=Inputs!$E$17,(D25+D26)/AVERAGE('Annual Income Statement US$'!$F$13,'Annual Income Statement US$'!$G$13),(D25+D26)/SUM(OFFSET('Interim Inc Statement US$'!D13,0,-3,,4))),IF(D3&lt;=DATE(Inputs!$E$17,Inputs!$E$15,Inputs!$E$16),(D25+D26)/AVERAGE('Annual Income Statement US$'!$E$13,'Annual Income Statement US$'!$F$13),(D25+D26)/SUM(OFFSET('Interim Inc Statement US$'!D13,0,-1,,2)))),"")</f>
        <v>0.1970476333460601</v>
      </c>
      <c r="E86" s="78">
        <f ca="1">IFERROR(IF(Inputs!$E$14="Quarterly",IF(YEAR(E3)=Inputs!$E$17,(E25+E26)/AVERAGE('Annual Income Statement US$'!$F$13,'Annual Income Statement US$'!$G$13),(E25+E26)/SUM(OFFSET('Interim Inc Statement US$'!E13,0,-3,,4))),IF(E3&lt;=DATE(Inputs!$E$17,Inputs!$E$15,Inputs!$E$16),(E25+E26)/AVERAGE('Annual Income Statement US$'!$E$13,'Annual Income Statement US$'!$F$13),(E25+E26)/SUM(OFFSET('Interim Inc Statement US$'!E13,0,-1,,2)))),"")</f>
        <v>0.16347268688268837</v>
      </c>
      <c r="F86" s="78">
        <f ca="1">IFERROR(IF(Inputs!$E$14="Quarterly",IF(YEAR(F3)=Inputs!$E$17,(F25+F26)/AVERAGE('Annual Income Statement US$'!$F$13,'Annual Income Statement US$'!$G$13),(F25+F26)/SUM(OFFSET('Interim Inc Statement US$'!F13,0,-3,,4))),IF(F3&lt;=DATE(Inputs!$E$17,Inputs!$E$15,Inputs!$E$16),(F25+F26)/AVERAGE('Annual Income Statement US$'!$E$13,'Annual Income Statement US$'!$F$13),(F25+F26)/SUM(OFFSET('Interim Inc Statement US$'!F13,0,-1,,2)))),"")</f>
        <v>0.21317734552770476</v>
      </c>
      <c r="G86" s="78">
        <f ca="1">IFERROR(IF(Inputs!$E$14="Quarterly",IF(YEAR(G3)=Inputs!$E$17,(G25+G26)/AVERAGE('Annual Income Statement US$'!$F$13,'Annual Income Statement US$'!$G$13),(G25+G26)/SUM(OFFSET('Interim Inc Statement US$'!G13,0,-3,,4))),IF(G3&lt;=DATE(Inputs!$E$17,Inputs!$E$15,Inputs!$E$16),(G25+G26)/AVERAGE('Annual Income Statement US$'!$E$13,'Annual Income Statement US$'!$F$13),(G25+G26)/SUM(OFFSET('Interim Inc Statement US$'!G13,0,-1,,2)))),"")</f>
        <v>0.23017415647522882</v>
      </c>
      <c r="H86" s="78">
        <f ca="1">IFERROR(IF(Inputs!$E$14="Quarterly",IF(YEAR(H3)=Inputs!$E$17,(H25+H26)/AVERAGE('Annual Income Statement US$'!$F$13,'Annual Income Statement US$'!$G$13),(H25+H26)/SUM(OFFSET('Interim Inc Statement US$'!H13,0,-3,,4))),IF(H3&lt;=DATE(Inputs!$E$17,Inputs!$E$15,Inputs!$E$16),(H25+H26)/AVERAGE('Annual Income Statement US$'!$E$13,'Annual Income Statement US$'!$F$13),(H25+H26)/SUM(OFFSET('Interim Inc Statement US$'!H13,0,-1,,2)))),"")</f>
        <v>0.23968022314868098</v>
      </c>
      <c r="I86" s="78">
        <f ca="1">IFERROR(IF(Inputs!$E$14="Quarterly",IF(YEAR(I3)=Inputs!$E$17,(I25+I26)/AVERAGE('Annual Income Statement US$'!$F$13,'Annual Income Statement US$'!$G$13),(I25+I26)/SUM(OFFSET('Interim Inc Statement US$'!I13,0,-3,,4))),IF(I3&lt;=DATE(Inputs!$E$17,Inputs!$E$15,Inputs!$E$16),(I25+I26)/AVERAGE('Annual Income Statement US$'!$E$13,'Annual Income Statement US$'!$F$13),(I25+I26)/SUM(OFFSET('Interim Inc Statement US$'!I13,0,-1,,2)))),"")</f>
        <v>0.19996945675525166</v>
      </c>
      <c r="J86" s="78">
        <f ca="1">IFERROR(IF(Inputs!$E$14="Quarterly",IF(YEAR(J3)=Inputs!$E$17,(J25+J26)/AVERAGE('Annual Income Statement US$'!$F$13,'Annual Income Statement US$'!$G$13),(J25+J26)/SUM(OFFSET('Interim Inc Statement US$'!J13,0,-3,,4))),IF(J3&lt;=DATE(Inputs!$E$17,Inputs!$E$15,Inputs!$E$16),(J25+J26)/AVERAGE('Annual Income Statement US$'!$E$13,'Annual Income Statement US$'!$F$13),(J25+J26)/SUM(OFFSET('Interim Inc Statement US$'!J13,0,-1,,2)))),"")</f>
        <v>0.23837862592174672</v>
      </c>
      <c r="K86" s="78">
        <f ca="1">IFERROR(IF(Inputs!$E$14="Quarterly",IF(YEAR(K3)=Inputs!$E$17,(K25+K26)/AVERAGE('Annual Income Statement US$'!$F$13,'Annual Income Statement US$'!$G$13),(K25+K26)/SUM(OFFSET('Interim Inc Statement US$'!K13,0,-3,,4))),IF(K3&lt;=DATE(Inputs!$E$17,Inputs!$E$15,Inputs!$E$16),(K25+K26)/AVERAGE('Annual Income Statement US$'!$E$13,'Annual Income Statement US$'!$F$13),(K25+K26)/SUM(OFFSET('Interim Inc Statement US$'!K13,0,-1,,2)))),"")</f>
        <v>0.26181975218082437</v>
      </c>
      <c r="L86" s="78">
        <f ca="1">IFERROR(IF(Inputs!$E$14="Quarterly",IF(YEAR(L3)=Inputs!$E$17,(L25+L26)/AVERAGE('Annual Income Statement US$'!$F$13,'Annual Income Statement US$'!$G$13),(L25+L26)/SUM(OFFSET('Interim Inc Statement US$'!L13,0,-3,,4))),IF(L3&lt;=DATE(Inputs!$E$17,Inputs!$E$15,Inputs!$E$16),(L25+L26)/AVERAGE('Annual Income Statement US$'!$E$13,'Annual Income Statement US$'!$F$13),(L25+L26)/SUM(OFFSET('Interim Inc Statement US$'!L13,0,-1,,2)))),"")</f>
        <v>0.26846288197470641</v>
      </c>
      <c r="M86" s="78">
        <f ca="1">IFERROR(IF(Inputs!$E$14="Quarterly",IF(YEAR(M3)=Inputs!$E$17,(M25+M26)/AVERAGE('Annual Income Statement US$'!$F$13,'Annual Income Statement US$'!$G$13),(M25+M26)/SUM(OFFSET('Interim Inc Statement US$'!M13,0,-3,,4))),IF(M3&lt;=DATE(Inputs!$E$17,Inputs!$E$15,Inputs!$E$16),(M25+M26)/AVERAGE('Annual Income Statement US$'!$E$13,'Annual Income Statement US$'!$F$13),(M25+M26)/SUM(OFFSET('Interim Inc Statement US$'!M13,0,-1,,2)))),"")</f>
        <v>0.2410586778422214</v>
      </c>
      <c r="N86" s="78">
        <f ca="1">IFERROR(IF(Inputs!$E$14="Quarterly",IF(YEAR(N3)=Inputs!$E$17,(N25+N26)/AVERAGE('Annual Income Statement US$'!$F$13,'Annual Income Statement US$'!$G$13),(N25+N26)/SUM(OFFSET('Interim Inc Statement US$'!N13,0,-3,,4))),IF(N3&lt;=DATE(Inputs!$E$17,Inputs!$E$15,Inputs!$E$16),(N25+N26)/AVERAGE('Annual Income Statement US$'!$E$13,'Annual Income Statement US$'!$F$13),(N25+N26)/SUM(OFFSET('Interim Inc Statement US$'!N13,0,-1,,2)))),"")</f>
        <v>0.26764126245992803</v>
      </c>
      <c r="O86" s="78">
        <f ca="1">IFERROR(IF(Inputs!$E$14="Quarterly",IF(YEAR(O3)=Inputs!$E$17,(O25+O26)/AVERAGE('Annual Income Statement US$'!$F$13,'Annual Income Statement US$'!$G$13),(O25+O26)/SUM(OFFSET('Interim Inc Statement US$'!O13,0,-3,,4))),IF(O3&lt;=DATE(Inputs!$E$17,Inputs!$E$15,Inputs!$E$16),(O25+O26)/AVERAGE('Annual Income Statement US$'!$E$13,'Annual Income Statement US$'!$F$13),(O25+O26)/SUM(OFFSET('Interim Inc Statement US$'!O13,0,-1,,2)))),"")</f>
        <v>0.2638547948354667</v>
      </c>
      <c r="P86" s="78">
        <f ca="1">IFERROR(IF(Inputs!$E$14="Quarterly",IF(YEAR(P3)=Inputs!$E$17,(P25+P26)/AVERAGE('Annual Income Statement US$'!$F$13,'Annual Income Statement US$'!$G$13),(P25+P26)/SUM(OFFSET('Interim Inc Statement US$'!P13,0,-3,,4))),IF(P3&lt;=DATE(Inputs!$E$17,Inputs!$E$15,Inputs!$E$16),(P25+P26)/AVERAGE('Annual Income Statement US$'!$E$13,'Annual Income Statement US$'!$F$13),(P25+P26)/SUM(OFFSET('Interim Inc Statement US$'!P13,0,-1,,2)))),"")</f>
        <v>0.27778384815108964</v>
      </c>
      <c r="Q86" s="78">
        <f ca="1">IFERROR(IF(Inputs!$E$14="Quarterly",IF(YEAR(Q3)=Inputs!$E$17,(Q25+Q26)/AVERAGE('Annual Income Statement US$'!$F$13,'Annual Income Statement US$'!$G$13),(Q25+Q26)/SUM(OFFSET('Interim Inc Statement US$'!Q13,0,-3,,4))),IF(Q3&lt;=DATE(Inputs!$E$17,Inputs!$E$15,Inputs!$E$16),(Q25+Q26)/AVERAGE('Annual Income Statement US$'!$E$13,'Annual Income Statement US$'!$F$13),(Q25+Q26)/SUM(OFFSET('Interim Inc Statement US$'!Q13,0,-1,,2)))),"")</f>
        <v>0.24813416325153134</v>
      </c>
      <c r="R86" s="78">
        <f ca="1">IFERROR(IF(Inputs!$E$14="Quarterly",IF(YEAR(R3)=Inputs!$E$17,(R25+R26)/AVERAGE('Annual Income Statement US$'!$F$13,'Annual Income Statement US$'!$G$13),(R25+R26)/SUM(OFFSET('Interim Inc Statement US$'!R13,0,-3,,4))),IF(R3&lt;=DATE(Inputs!$E$17,Inputs!$E$15,Inputs!$E$16),(R25+R26)/AVERAGE('Annual Income Statement US$'!$E$13,'Annual Income Statement US$'!$F$13),(R25+R26)/SUM(OFFSET('Interim Inc Statement US$'!R13,0,-1,,2)))),"")</f>
        <v>0.31300368582364657</v>
      </c>
      <c r="S86" s="78">
        <f ca="1">IFERROR(IF(Inputs!$E$14="Quarterly",IF(YEAR(S3)=Inputs!$E$17,(S25+S26)/AVERAGE('Annual Income Statement US$'!$F$13,'Annual Income Statement US$'!$G$13),(S25+S26)/SUM(OFFSET('Interim Inc Statement US$'!S13,0,-3,,4))),IF(S3&lt;=DATE(Inputs!$E$17,Inputs!$E$15,Inputs!$E$16),(S25+S26)/AVERAGE('Annual Income Statement US$'!$E$13,'Annual Income Statement US$'!$F$13),(S25+S26)/SUM(OFFSET('Interim Inc Statement US$'!S13,0,-1,,2)))),"")</f>
        <v>0.31702979953399352</v>
      </c>
      <c r="T86" s="78">
        <f ca="1">IFERROR(IF(Inputs!$E$14="Quarterly",IF(YEAR(T3)=Inputs!$E$17,(T25+T26)/AVERAGE('Annual Income Statement US$'!$F$13,'Annual Income Statement US$'!$G$13),(T25+T26)/SUM(OFFSET('Interim Inc Statement US$'!T13,0,-3,,4))),IF(T3&lt;=DATE(Inputs!$E$17,Inputs!$E$15,Inputs!$E$16),(T25+T26)/AVERAGE('Annual Income Statement US$'!$E$13,'Annual Income Statement US$'!$F$13),(T25+T26)/SUM(OFFSET('Interim Inc Statement US$'!T13,0,-1,,2)))),"")</f>
        <v>0.30942074563609384</v>
      </c>
      <c r="U86" s="78">
        <f ca="1">IFERROR(IF(Inputs!$E$14="Quarterly",IF(YEAR(U3)=Inputs!$E$17,(U25+U26)/AVERAGE('Annual Income Statement US$'!$F$13,'Annual Income Statement US$'!$G$13),(U25+U26)/SUM(OFFSET('Interim Inc Statement US$'!U13,0,-3,,4))),IF(U3&lt;=DATE(Inputs!$E$17,Inputs!$E$15,Inputs!$E$16),(U25+U26)/AVERAGE('Annual Income Statement US$'!$E$13,'Annual Income Statement US$'!$F$13),(U25+U26)/SUM(OFFSET('Interim Inc Statement US$'!U13,0,-1,,2)))),"")</f>
        <v>0.31439885501679166</v>
      </c>
      <c r="V86" s="78">
        <f ca="1">IFERROR(IF(Inputs!$E$14="Quarterly",IF(YEAR(V3)=Inputs!$E$17,(V25+V26)/AVERAGE('Annual Income Statement US$'!$F$13,'Annual Income Statement US$'!$G$13),(V25+V26)/SUM(OFFSET('Interim Inc Statement US$'!V13,0,-3,,4))),IF(V3&lt;=DATE(Inputs!$E$17,Inputs!$E$15,Inputs!$E$16),(V25+V26)/AVERAGE('Annual Income Statement US$'!$E$13,'Annual Income Statement US$'!$F$13),(V25+V26)/SUM(OFFSET('Interim Inc Statement US$'!V13,0,-1,,2)))),"")</f>
        <v>0.31352269223567736</v>
      </c>
      <c r="W86" s="78">
        <f ca="1">IFERROR(IF(Inputs!$E$14="Quarterly",IF(YEAR(W3)=Inputs!$E$17,(W25+W26)/AVERAGE('Annual Income Statement US$'!$F$13,'Annual Income Statement US$'!$G$13),(W25+W26)/SUM(OFFSET('Interim Inc Statement US$'!W13,0,-3,,4))),IF(W3&lt;=DATE(Inputs!$E$17,Inputs!$E$15,Inputs!$E$16),(W25+W26)/AVERAGE('Annual Income Statement US$'!$E$13,'Annual Income Statement US$'!$F$13),(W25+W26)/SUM(OFFSET('Interim Inc Statement US$'!W13,0,-1,,2)))),"")</f>
        <v>0.59679457766070998</v>
      </c>
      <c r="X86" s="78">
        <f ca="1">IFERROR(IF(Inputs!$E$14="Quarterly",IF(YEAR(X3)=Inputs!$E$17,(X25+X26)/AVERAGE('Annual Income Statement US$'!$F$13,'Annual Income Statement US$'!$G$13),(X25+X26)/SUM(OFFSET('Interim Inc Statement US$'!X13,0,-3,,4))),IF(X3&lt;=DATE(Inputs!$E$17,Inputs!$E$15,Inputs!$E$16),(X25+X26)/AVERAGE('Annual Income Statement US$'!$E$13,'Annual Income Statement US$'!$F$13),(X25+X26)/SUM(OFFSET('Interim Inc Statement US$'!X13,0,-1,,2)))),"")</f>
        <v>0.83071314472673796</v>
      </c>
      <c r="Y86" s="78">
        <f ca="1">IFERROR(IF(Inputs!$E$14="Quarterly",IF(YEAR(Y3)=Inputs!$E$17,(Y25+Y26)/AVERAGE('Annual Income Statement US$'!$F$13,'Annual Income Statement US$'!$G$13),(Y25+Y26)/SUM(OFFSET('Interim Inc Statement US$'!Y13,0,-3,,4))),IF(Y3&lt;=DATE(Inputs!$E$17,Inputs!$E$15,Inputs!$E$16),(Y25+Y26)/AVERAGE('Annual Income Statement US$'!$E$13,'Annual Income Statement US$'!$F$13),(Y25+Y26)/SUM(OFFSET('Interim Inc Statement US$'!Y13,0,-1,,2)))),"")</f>
        <v>1.2981058864871124</v>
      </c>
      <c r="Z86" s="78">
        <f ca="1">IFERROR(IF(Inputs!$E$14="Quarterly",IF(YEAR(Z3)=Inputs!$E$17,(Z25+Z26)/AVERAGE('Annual Income Statement US$'!$F$13,'Annual Income Statement US$'!$G$13),(Z25+Z26)/SUM(OFFSET('Interim Inc Statement US$'!Z13,0,-3,,4))),IF(Z3&lt;=DATE(Inputs!$E$17,Inputs!$E$15,Inputs!$E$16),(Z25+Z26)/AVERAGE('Annual Income Statement US$'!$E$13,'Annual Income Statement US$'!$F$13),(Z25+Z26)/SUM(OFFSET('Interim Inc Statement US$'!Z13,0,-1,,2)))),"")</f>
        <v>2.2336208365215784</v>
      </c>
      <c r="AA86" s="78">
        <f ca="1">IFERROR(IF(Inputs!$E$14="Quarterly",IF(YEAR(AA3)=Inputs!$E$17,(AA25+AA26)/AVERAGE('Annual Income Statement US$'!$F$13,'Annual Income Statement US$'!$G$13),(AA25+AA26)/SUM(OFFSET('Interim Inc Statement US$'!AA13,0,-3,,4))),IF(AA3&lt;=DATE(Inputs!$E$17,Inputs!$E$15,Inputs!$E$16),(AA25+AA26)/AVERAGE('Annual Income Statement US$'!$E$13,'Annual Income Statement US$'!$F$13),(AA25+AA26)/SUM(OFFSET('Interim Inc Statement US$'!AA13,0,-1,,2)))),"")</f>
        <v>1.6994148299523271</v>
      </c>
      <c r="AB86" s="78">
        <f ca="1">IFERROR(IF(Inputs!$E$14="Quarterly",IF(YEAR(AB3)=Inputs!$E$17,(AB25+AB26)/AVERAGE('Annual Income Statement US$'!$F$13,'Annual Income Statement US$'!$G$13),(AB25+AB26)/SUM(OFFSET('Interim Inc Statement US$'!AB13,0,-3,,4))),IF(AB3&lt;=DATE(Inputs!$E$17,Inputs!$E$15,Inputs!$E$16),(AB25+AB26)/AVERAGE('Annual Income Statement US$'!$E$13,'Annual Income Statement US$'!$F$13),(AB25+AB26)/SUM(OFFSET('Interim Inc Statement US$'!AB13,0,-1,,2)))),"")</f>
        <v>1.9425302919113701</v>
      </c>
    </row>
    <row r="87" spans="1:28" x14ac:dyDescent="0.3">
      <c r="A87" s="85" t="s">
        <v>140</v>
      </c>
      <c r="B87" s="258">
        <f ca="1">IFERROR(IF(Inputs!$E$14="Quarterly",IF(YEAR(B3)=Inputs!$E$17,((B25+B26)/-AVERAGE(('Annual Income Statement US$'!$F$24+'Annual Income Statement US$'!$F$27),('Annual Income Statement US$'!$G$24+'Annual Income Statement US$'!$G$27))*12),((B25+B26)/-SUM(OFFSET('Interim Inc Statement US$'!B24,0,-3,,4),OFFSET('Interim Inc Statement US$'!B27,0,-3,,4)))),IF(B3&lt;=DATE(Inputs!$E$17,Inputs!$E$15,Inputs!$E$16),((B25+B26)/-AVERAGE(('Annual Income Statement US$'!$E$24+'Annual Income Statement US$'!$E$27),('Annual Income Statement US$'!$F$24+'Annual Income Statement US$'!$F$27))*12),((B25+B26)/-SUM(OFFSET('Interim Inc Statement US$'!B24,0,-1,,2),OFFSET('Interim Inc Statement US$'!B27,0,-1,,2))))),"")</f>
        <v>2.6034397908446731</v>
      </c>
      <c r="C87" s="258">
        <f ca="1">IFERROR(IF(Inputs!$E$14="Quarterly",IF(YEAR(C3)=Inputs!$E$17,((C25+C26)/-AVERAGE(('Annual Income Statement US$'!$F$24+'Annual Income Statement US$'!$F$27),('Annual Income Statement US$'!$G$24+'Annual Income Statement US$'!$G$27))*12),((C25+C26)/-SUM(OFFSET('Interim Inc Statement US$'!C24,0,-3,,4),OFFSET('Interim Inc Statement US$'!C27,0,-3,,4)))),IF(C3&lt;=DATE(Inputs!$E$17,Inputs!$E$15,Inputs!$E$16),((C25+C26)/-AVERAGE(('Annual Income Statement US$'!$F$24+'Annual Income Statement US$'!$F$27),('Annual Income Statement US$'!$G$24+'Annual Income Statement US$'!$G$27))*12),((C25+C26)/-SUM(OFFSET('Interim Inc Statement US$'!C24,0,-1,,2),OFFSET('Interim Inc Statement US$'!C27,0,-1,,2))))),"")</f>
        <v>2.8410023575278722</v>
      </c>
      <c r="D87" s="258">
        <f ca="1">IFERROR(IF(Inputs!$E$14="Quarterly",IF(YEAR(D3)=Inputs!$E$17,((D25+D26)/-AVERAGE(('Annual Income Statement US$'!$F$24+'Annual Income Statement US$'!$F$27),('Annual Income Statement US$'!$G$24+'Annual Income Statement US$'!$G$27))*12),((D25+D26)/-SUM(OFFSET('Interim Inc Statement US$'!D24,0,-3,,4),OFFSET('Interim Inc Statement US$'!D27,0,-3,,4)))),IF(D3&lt;=DATE(Inputs!$E$17,Inputs!$E$15,Inputs!$E$16),((D25+D26)/-AVERAGE(('Annual Income Statement US$'!$F$24+'Annual Income Statement US$'!$F$27),('Annual Income Statement US$'!$G$24+'Annual Income Statement US$'!$G$27))*12),((D25+D26)/-SUM(OFFSET('Interim Inc Statement US$'!D24,0,-1,,2),OFFSET('Interim Inc Statement US$'!D27,0,-1,,2))))),"")</f>
        <v>2.7081111423718833</v>
      </c>
      <c r="E87" s="258">
        <f ca="1">IFERROR(IF(Inputs!$E$14="Quarterly",IF(YEAR(E3)=Inputs!$E$17,((E25+E26)/-AVERAGE(('Annual Income Statement US$'!$F$24+'Annual Income Statement US$'!$F$27),('Annual Income Statement US$'!$G$24+'Annual Income Statement US$'!$G$27))*12),((E25+E26)/-SUM(OFFSET('Interim Inc Statement US$'!E24,0,-3,,4),OFFSET('Interim Inc Statement US$'!E27,0,-3,,4)))),IF(E3&lt;=DATE(Inputs!$E$17,Inputs!$E$15,Inputs!$E$16),((E25+E26)/-AVERAGE(('Annual Income Statement US$'!$F$24+'Annual Income Statement US$'!$F$27),('Annual Income Statement US$'!$G$24+'Annual Income Statement US$'!$G$27))*12),((E25+E26)/-SUM(OFFSET('Interim Inc Statement US$'!E24,0,-1,,2),OFFSET('Interim Inc Statement US$'!E27,0,-1,,2))))),"")</f>
        <v>2.246676081833439</v>
      </c>
      <c r="F87" s="258">
        <f ca="1">IFERROR(IF(Inputs!$E$14="Quarterly",IF(YEAR(F3)=Inputs!$E$17,((F25+F26)/-AVERAGE(('Annual Income Statement US$'!$F$24+'Annual Income Statement US$'!$F$27),('Annual Income Statement US$'!$G$24+'Annual Income Statement US$'!$G$27))*12),((F25+F26)/-SUM(OFFSET('Interim Inc Statement US$'!F24,0,-3,,4),OFFSET('Interim Inc Statement US$'!F27,0,-3,,4)))),IF(F3&lt;=DATE(Inputs!$E$17,Inputs!$E$15,Inputs!$E$16),((F25+F26)/-AVERAGE(('Annual Income Statement US$'!$F$24+'Annual Income Statement US$'!$F$27),('Annual Income Statement US$'!$G$24+'Annual Income Statement US$'!$G$27))*12),((F25+F26)/-SUM(OFFSET('Interim Inc Statement US$'!F24,0,-1,,2),OFFSET('Interim Inc Statement US$'!F27,0,-1,,2))))),"")</f>
        <v>0.251994430170769</v>
      </c>
      <c r="G87" s="258">
        <f ca="1">IFERROR(IF(Inputs!$E$14="Quarterly",IF(YEAR(G3)=Inputs!$E$17,((G25+G26)/-AVERAGE(('Annual Income Statement US$'!$F$24+'Annual Income Statement US$'!$F$27),('Annual Income Statement US$'!$G$24+'Annual Income Statement US$'!$G$27))*12),((G25+G26)/-SUM(OFFSET('Interim Inc Statement US$'!G24,0,-3,,4),OFFSET('Interim Inc Statement US$'!G27,0,-3,,4)))),IF(G3&lt;=DATE(Inputs!$E$17,Inputs!$E$15,Inputs!$E$16),((G25+G26)/-AVERAGE(('Annual Income Statement US$'!$F$24+'Annual Income Statement US$'!$F$27),('Annual Income Statement US$'!$G$24+'Annual Income Statement US$'!$G$27))*12),((G25+G26)/-SUM(OFFSET('Interim Inc Statement US$'!G24,0,-1,,2),OFFSET('Interim Inc Statement US$'!G27,0,-1,,2))))),"")</f>
        <v>0.27202905286076473</v>
      </c>
      <c r="H87" s="258">
        <f ca="1">IFERROR(IF(Inputs!$E$14="Quarterly",IF(YEAR(H3)=Inputs!$E$17,((H25+H26)/-AVERAGE(('Annual Income Statement US$'!$F$24+'Annual Income Statement US$'!$F$27),('Annual Income Statement US$'!$G$24+'Annual Income Statement US$'!$G$27))*12),((H25+H26)/-SUM(OFFSET('Interim Inc Statement US$'!H24,0,-3,,4),OFFSET('Interim Inc Statement US$'!H27,0,-3,,4)))),IF(H3&lt;=DATE(Inputs!$E$17,Inputs!$E$15,Inputs!$E$16),((H25+H26)/-AVERAGE(('Annual Income Statement US$'!$F$24+'Annual Income Statement US$'!$F$27),('Annual Income Statement US$'!$G$24+'Annual Income Statement US$'!$G$27))*12),((H25+H26)/-SUM(OFFSET('Interim Inc Statement US$'!H24,0,-1,,2),OFFSET('Interim Inc Statement US$'!H27,0,-1,,2))))),"")</f>
        <v>0.28494363898661135</v>
      </c>
      <c r="I87" s="258">
        <f ca="1">IFERROR(IF(Inputs!$E$14="Quarterly",IF(YEAR(I3)=Inputs!$E$17,((I25+I26)/-AVERAGE(('Annual Income Statement US$'!$F$24+'Annual Income Statement US$'!$F$27),('Annual Income Statement US$'!$G$24+'Annual Income Statement US$'!$G$27))*12),((I25+I26)/-SUM(OFFSET('Interim Inc Statement US$'!I24,0,-3,,4),OFFSET('Interim Inc Statement US$'!I27,0,-3,,4)))),IF(I3&lt;=DATE(Inputs!$E$17,Inputs!$E$15,Inputs!$E$16),((I25+I26)/-AVERAGE(('Annual Income Statement US$'!$F$24+'Annual Income Statement US$'!$F$27),('Annual Income Statement US$'!$G$24+'Annual Income Statement US$'!$G$27))*12),((I25+I26)/-SUM(OFFSET('Interim Inc Statement US$'!I24,0,-1,,2),OFFSET('Interim Inc Statement US$'!I27,0,-1,,2))))),"")</f>
        <v>0.23646903981842163</v>
      </c>
      <c r="J87" s="258">
        <f ca="1">IFERROR(IF(Inputs!$E$14="Quarterly",IF(YEAR(J3)=Inputs!$E$17,((J25+J26)/-AVERAGE(('Annual Income Statement US$'!$F$24+'Annual Income Statement US$'!$F$27),('Annual Income Statement US$'!$G$24+'Annual Income Statement US$'!$G$27))*12),((J25+J26)/-SUM(OFFSET('Interim Inc Statement US$'!J24,0,-3,,4),OFFSET('Interim Inc Statement US$'!J27,0,-3,,4)))),IF(J3&lt;=DATE(Inputs!$E$17,Inputs!$E$15,Inputs!$E$16),((J25+J26)/-AVERAGE(('Annual Income Statement US$'!$F$24+'Annual Income Statement US$'!$F$27),('Annual Income Statement US$'!$G$24+'Annual Income Statement US$'!$G$27))*12),((J25+J26)/-SUM(OFFSET('Interim Inc Statement US$'!J24,0,-1,,2),OFFSET('Interim Inc Statement US$'!J27,0,-1,,2))))),"")</f>
        <v>0.27787128053915933</v>
      </c>
      <c r="K87" s="258">
        <f ca="1">IFERROR(IF(Inputs!$E$14="Quarterly",IF(YEAR(K3)=Inputs!$E$17,((K25+K26)/-AVERAGE(('Annual Income Statement US$'!$F$24+'Annual Income Statement US$'!$F$27),('Annual Income Statement US$'!$G$24+'Annual Income Statement US$'!$G$27))*12),((K25+K26)/-SUM(OFFSET('Interim Inc Statement US$'!K24,0,-3,,4),OFFSET('Interim Inc Statement US$'!K27,0,-3,,4)))),IF(K3&lt;=DATE(Inputs!$E$17,Inputs!$E$15,Inputs!$E$16),((K25+K26)/-AVERAGE(('Annual Income Statement US$'!$F$24+'Annual Income Statement US$'!$F$27),('Annual Income Statement US$'!$G$24+'Annual Income Statement US$'!$G$27))*12),((K25+K26)/-SUM(OFFSET('Interim Inc Statement US$'!K24,0,-1,,2),OFFSET('Interim Inc Statement US$'!K27,0,-1,,2))))),"")</f>
        <v>0.3047498912531898</v>
      </c>
      <c r="L87" s="258">
        <f ca="1">IFERROR(IF(Inputs!$E$14="Quarterly",IF(YEAR(L3)=Inputs!$E$17,((L25+L26)/-AVERAGE(('Annual Income Statement US$'!$F$24+'Annual Income Statement US$'!$F$27),('Annual Income Statement US$'!$G$24+'Annual Income Statement US$'!$G$27))*12),((L25+L26)/-SUM(OFFSET('Interim Inc Statement US$'!L24,0,-3,,4),OFFSET('Interim Inc Statement US$'!L27,0,-3,,4)))),IF(L3&lt;=DATE(Inputs!$E$17,Inputs!$E$15,Inputs!$E$16),((L25+L26)/-AVERAGE(('Annual Income Statement US$'!$F$24+'Annual Income Statement US$'!$F$27),('Annual Income Statement US$'!$G$24+'Annual Income Statement US$'!$G$27))*12),((L25+L26)/-SUM(OFFSET('Interim Inc Statement US$'!L24,0,-1,,2),OFFSET('Interim Inc Statement US$'!L27,0,-1,,2))))),"")</f>
        <v>0.31526650373862281</v>
      </c>
      <c r="M87" s="258">
        <f ca="1">IFERROR(IF(Inputs!$E$14="Quarterly",IF(YEAR(M3)=Inputs!$E$17,((M25+M26)/-AVERAGE(('Annual Income Statement US$'!$F$24+'Annual Income Statement US$'!$F$27),('Annual Income Statement US$'!$G$24+'Annual Income Statement US$'!$G$27))*12),((M25+M26)/-SUM(OFFSET('Interim Inc Statement US$'!M24,0,-3,,4),OFFSET('Interim Inc Statement US$'!M27,0,-3,,4)))),IF(M3&lt;=DATE(Inputs!$E$17,Inputs!$E$15,Inputs!$E$16),((M25+M26)/-AVERAGE(('Annual Income Statement US$'!$F$24+'Annual Income Statement US$'!$F$27),('Annual Income Statement US$'!$G$24+'Annual Income Statement US$'!$G$27))*12),((M25+M26)/-SUM(OFFSET('Interim Inc Statement US$'!M24,0,-1,,2),OFFSET('Interim Inc Statement US$'!M27,0,-1,,2))))),"")</f>
        <v>0.28286307340939842</v>
      </c>
      <c r="N87" s="258">
        <f ca="1">IFERROR(IF(Inputs!$E$14="Quarterly",IF(YEAR(N3)=Inputs!$E$17,((N25+N26)/-AVERAGE(('Annual Income Statement US$'!$F$24+'Annual Income Statement US$'!$F$27),('Annual Income Statement US$'!$G$24+'Annual Income Statement US$'!$G$27))*12),((N25+N26)/-SUM(OFFSET('Interim Inc Statement US$'!N24,0,-3,,4),OFFSET('Interim Inc Statement US$'!N27,0,-3,,4)))),IF(N3&lt;=DATE(Inputs!$E$17,Inputs!$E$15,Inputs!$E$16),((N25+N26)/-AVERAGE(('Annual Income Statement US$'!$F$24+'Annual Income Statement US$'!$F$27),('Annual Income Statement US$'!$G$24+'Annual Income Statement US$'!$G$27))*12),((N25+N26)/-SUM(OFFSET('Interim Inc Statement US$'!N24,0,-1,,2),OFFSET('Interim Inc Statement US$'!N27,0,-1,,2))))),"")</f>
        <v>0.31339748011057922</v>
      </c>
      <c r="O87" s="258">
        <f ca="1">IFERROR(IF(Inputs!$E$14="Quarterly",IF(YEAR(O3)=Inputs!$E$17,((O25+O26)/-AVERAGE(('Annual Income Statement US$'!$F$24+'Annual Income Statement US$'!$F$27),('Annual Income Statement US$'!$G$24+'Annual Income Statement US$'!$G$27))*12),((O25+O26)/-SUM(OFFSET('Interim Inc Statement US$'!O24,0,-3,,4),OFFSET('Interim Inc Statement US$'!O27,0,-3,,4)))),IF(O3&lt;=DATE(Inputs!$E$17,Inputs!$E$15,Inputs!$E$16),((O25+O26)/-AVERAGE(('Annual Income Statement US$'!$F$24+'Annual Income Statement US$'!$F$27),('Annual Income Statement US$'!$G$24+'Annual Income Statement US$'!$G$27))*12),((O25+O26)/-SUM(OFFSET('Interim Inc Statement US$'!O24,0,-1,,2),OFFSET('Interim Inc Statement US$'!O27,0,-1,,2))))),"")</f>
        <v>0.30725202615660335</v>
      </c>
      <c r="P87" s="258">
        <f ca="1">IFERROR(IF(Inputs!$E$14="Quarterly",IF(YEAR(P3)=Inputs!$E$17,((P25+P26)/-AVERAGE(('Annual Income Statement US$'!$F$24+'Annual Income Statement US$'!$F$27),('Annual Income Statement US$'!$G$24+'Annual Income Statement US$'!$G$27))*12),((P25+P26)/-SUM(OFFSET('Interim Inc Statement US$'!P24,0,-3,,4),OFFSET('Interim Inc Statement US$'!P27,0,-3,,4)))),IF(P3&lt;=DATE(Inputs!$E$17,Inputs!$E$15,Inputs!$E$16),((P25+P26)/-AVERAGE(('Annual Income Statement US$'!$F$24+'Annual Income Statement US$'!$F$27),('Annual Income Statement US$'!$G$24+'Annual Income Statement US$'!$G$27))*12),((P25+P26)/-SUM(OFFSET('Interim Inc Statement US$'!P24,0,-1,,2),OFFSET('Interim Inc Statement US$'!P27,0,-1,,2))))),"")</f>
        <v>0.3179953940574704</v>
      </c>
      <c r="Q87" s="258">
        <f ca="1">IFERROR(IF(Inputs!$E$14="Quarterly",IF(YEAR(Q3)=Inputs!$E$17,((Q25+Q26)/-AVERAGE(('Annual Income Statement US$'!$F$24+'Annual Income Statement US$'!$F$27),('Annual Income Statement US$'!$G$24+'Annual Income Statement US$'!$G$27))*12),((Q25+Q26)/-SUM(OFFSET('Interim Inc Statement US$'!Q24,0,-3,,4),OFFSET('Interim Inc Statement US$'!Q27,0,-3,,4)))),IF(Q3&lt;=DATE(Inputs!$E$17,Inputs!$E$15,Inputs!$E$16),((Q25+Q26)/-AVERAGE(('Annual Income Statement US$'!$F$24+'Annual Income Statement US$'!$F$27),('Annual Income Statement US$'!$G$24+'Annual Income Statement US$'!$G$27))*12),((Q25+Q26)/-SUM(OFFSET('Interim Inc Statement US$'!Q24,0,-1,,2),OFFSET('Interim Inc Statement US$'!Q27,0,-1,,2))))),"")</f>
        <v>0.28337148795291528</v>
      </c>
      <c r="R87" s="258">
        <f ca="1">IFERROR(IF(Inputs!$E$14="Quarterly",IF(YEAR(R3)=Inputs!$E$17,((R25+R26)/-AVERAGE(('Annual Income Statement US$'!$F$24+'Annual Income Statement US$'!$F$27),('Annual Income Statement US$'!$G$24+'Annual Income Statement US$'!$G$27))*12),((R25+R26)/-SUM(OFFSET('Interim Inc Statement US$'!R24,0,-3,,4),OFFSET('Interim Inc Statement US$'!R27,0,-3,,4)))),IF(R3&lt;=DATE(Inputs!$E$17,Inputs!$E$15,Inputs!$E$16),((R25+R26)/-AVERAGE(('Annual Income Statement US$'!$F$24+'Annual Income Statement US$'!$F$27),('Annual Income Statement US$'!$G$24+'Annual Income Statement US$'!$G$27))*12),((R25+R26)/-SUM(OFFSET('Interim Inc Statement US$'!R24,0,-1,,2),OFFSET('Interim Inc Statement US$'!R27,0,-1,,2))))),"")</f>
        <v>0.36402555025402661</v>
      </c>
      <c r="S87" s="258">
        <f ca="1">IFERROR(IF(Inputs!$E$14="Quarterly",IF(YEAR(S3)=Inputs!$E$17,((S25+S26)/-AVERAGE(('Annual Income Statement US$'!$F$24+'Annual Income Statement US$'!$F$27),('Annual Income Statement US$'!$G$24+'Annual Income Statement US$'!$G$27))*12),((S25+S26)/-SUM(OFFSET('Interim Inc Statement US$'!S24,0,-3,,4),OFFSET('Interim Inc Statement US$'!S27,0,-3,,4)))),IF(S3&lt;=DATE(Inputs!$E$17,Inputs!$E$15,Inputs!$E$16),((S25+S26)/-AVERAGE(('Annual Income Statement US$'!$F$24+'Annual Income Statement US$'!$F$27),('Annual Income Statement US$'!$G$24+'Annual Income Statement US$'!$G$27))*12),((S25+S26)/-SUM(OFFSET('Interim Inc Statement US$'!S24,0,-1,,2),OFFSET('Interim Inc Statement US$'!S27,0,-1,,2))))),"")</f>
        <v>0.37689440106501992</v>
      </c>
      <c r="T87" s="258">
        <f ca="1">IFERROR(IF(Inputs!$E$14="Quarterly",IF(YEAR(T3)=Inputs!$E$17,((T25+T26)/-AVERAGE(('Annual Income Statement US$'!$F$24+'Annual Income Statement US$'!$F$27),('Annual Income Statement US$'!$G$24+'Annual Income Statement US$'!$G$27))*12),((T25+T26)/-SUM(OFFSET('Interim Inc Statement US$'!T24,0,-3,,4),OFFSET('Interim Inc Statement US$'!T27,0,-3,,4)))),IF(T3&lt;=DATE(Inputs!$E$17,Inputs!$E$15,Inputs!$E$16),((T25+T26)/-AVERAGE(('Annual Income Statement US$'!$F$24+'Annual Income Statement US$'!$F$27),('Annual Income Statement US$'!$G$24+'Annual Income Statement US$'!$G$27))*12),((T25+T26)/-SUM(OFFSET('Interim Inc Statement US$'!T24,0,-1,,2),OFFSET('Interim Inc Statement US$'!T27,0,-1,,2))))),"")</f>
        <v>0.37587064034751644</v>
      </c>
      <c r="U87" s="258">
        <f ca="1">IFERROR(IF(Inputs!$E$14="Quarterly",IF(YEAR(U3)=Inputs!$E$17,((U25+U26)/-AVERAGE(('Annual Income Statement US$'!$F$24+'Annual Income Statement US$'!$F$27),('Annual Income Statement US$'!$G$24+'Annual Income Statement US$'!$G$27))*12),((U25+U26)/-SUM(OFFSET('Interim Inc Statement US$'!U24,0,-3,,4),OFFSET('Interim Inc Statement US$'!U27,0,-3,,4)))),IF(U3&lt;=DATE(Inputs!$E$17,Inputs!$E$15,Inputs!$E$16),((U25+U26)/-AVERAGE(('Annual Income Statement US$'!$F$24+'Annual Income Statement US$'!$F$27),('Annual Income Statement US$'!$G$24+'Annual Income Statement US$'!$G$27))*12),((U25+U26)/-SUM(OFFSET('Interim Inc Statement US$'!U24,0,-1,,2),OFFSET('Interim Inc Statement US$'!U27,0,-1,,2))))),"")</f>
        <v>0.38821630877374452</v>
      </c>
      <c r="V87" s="258">
        <f ca="1">IFERROR(IF(Inputs!$E$14="Quarterly",IF(YEAR(V3)=Inputs!$E$17,((V25+V26)/-AVERAGE(('Annual Income Statement US$'!$F$24+'Annual Income Statement US$'!$F$27),('Annual Income Statement US$'!$G$24+'Annual Income Statement US$'!$G$27))*12),((V25+V26)/-SUM(OFFSET('Interim Inc Statement US$'!V24,0,-3,,4),OFFSET('Interim Inc Statement US$'!V27,0,-3,,4)))),IF(V3&lt;=DATE(Inputs!$E$17,Inputs!$E$15,Inputs!$E$16),((V25+V26)/-AVERAGE(('Annual Income Statement US$'!$F$24+'Annual Income Statement US$'!$F$27),('Annual Income Statement US$'!$G$24+'Annual Income Statement US$'!$G$27))*12),((V25+V26)/-SUM(OFFSET('Interim Inc Statement US$'!V24,0,-1,,2),OFFSET('Interim Inc Statement US$'!V27,0,-1,,2))))),"")</f>
        <v>0.37782581166802592</v>
      </c>
      <c r="W87" s="258">
        <f ca="1">IFERROR(IF(Inputs!$E$14="Quarterly",IF(YEAR(W3)=Inputs!$E$17,((W25+W26)/-AVERAGE(('Annual Income Statement US$'!$F$24+'Annual Income Statement US$'!$F$27),('Annual Income Statement US$'!$G$24+'Annual Income Statement US$'!$G$27))*12),((W25+W26)/-SUM(OFFSET('Interim Inc Statement US$'!W24,0,-3,,4),OFFSET('Interim Inc Statement US$'!W27,0,-3,,4)))),IF(W3&lt;=DATE(Inputs!$E$17,Inputs!$E$15,Inputs!$E$16),((W25+W26)/-AVERAGE(('Annual Income Statement US$'!$F$24+'Annual Income Statement US$'!$F$27),('Annual Income Statement US$'!$G$24+'Annual Income Statement US$'!$G$27))*12),((W25+W26)/-SUM(OFFSET('Interim Inc Statement US$'!W24,0,-1,,2),OFFSET('Interim Inc Statement US$'!W27,0,-1,,2))))),"")</f>
        <v>0.66794824180803214</v>
      </c>
      <c r="X87" s="258">
        <f ca="1">IFERROR(IF(Inputs!$E$14="Quarterly",IF(YEAR(X3)=Inputs!$E$17,((X25+X26)/-AVERAGE(('Annual Income Statement US$'!$F$24+'Annual Income Statement US$'!$F$27),('Annual Income Statement US$'!$G$24+'Annual Income Statement US$'!$G$27))*12),((X25+X26)/-SUM(OFFSET('Interim Inc Statement US$'!X24,0,-3,,4),OFFSET('Interim Inc Statement US$'!X27,0,-3,,4)))),IF(X3&lt;=DATE(Inputs!$E$17,Inputs!$E$15,Inputs!$E$16),((X25+X26)/-AVERAGE(('Annual Income Statement US$'!$F$24+'Annual Income Statement US$'!$F$27),('Annual Income Statement US$'!$G$24+'Annual Income Statement US$'!$G$27))*12),((X25+X26)/-SUM(OFFSET('Interim Inc Statement US$'!X24,0,-1,,2),OFFSET('Interim Inc Statement US$'!X27,0,-1,,2))))),"")</f>
        <v>0.80219837303889607</v>
      </c>
      <c r="Y87" s="258">
        <f ca="1">IFERROR(IF(Inputs!$E$14="Quarterly",IF(YEAR(Y3)=Inputs!$E$17,((Y25+Y26)/-AVERAGE(('Annual Income Statement US$'!$F$24+'Annual Income Statement US$'!$F$27),('Annual Income Statement US$'!$G$24+'Annual Income Statement US$'!$G$27))*12),((Y25+Y26)/-SUM(OFFSET('Interim Inc Statement US$'!Y24,0,-3,,4),OFFSET('Interim Inc Statement US$'!Y27,0,-3,,4)))),IF(Y3&lt;=DATE(Inputs!$E$17,Inputs!$E$15,Inputs!$E$16),((Y25+Y26)/-AVERAGE(('Annual Income Statement US$'!$F$24+'Annual Income Statement US$'!$F$27),('Annual Income Statement US$'!$G$24+'Annual Income Statement US$'!$G$27))*12),((Y25+Y26)/-SUM(OFFSET('Interim Inc Statement US$'!Y24,0,-1,,2),OFFSET('Interim Inc Statement US$'!Y27,0,-1,,2))))),"")</f>
        <v>1.0188532605576903</v>
      </c>
      <c r="Z87" s="258">
        <f ca="1">IFERROR(IF(Inputs!$E$14="Quarterly",IF(YEAR(Z3)=Inputs!$E$17,((Z25+Z26)/-AVERAGE(('Annual Income Statement US$'!$F$24+'Annual Income Statement US$'!$F$27),('Annual Income Statement US$'!$G$24+'Annual Income Statement US$'!$G$27))*12),((Z25+Z26)/-SUM(OFFSET('Interim Inc Statement US$'!Z24,0,-3,,4),OFFSET('Interim Inc Statement US$'!Z27,0,-3,,4)))),IF(Z3&lt;=DATE(Inputs!$E$17,Inputs!$E$15,Inputs!$E$16),((Z25+Z26)/-AVERAGE(('Annual Income Statement US$'!$F$24+'Annual Income Statement US$'!$F$27),('Annual Income Statement US$'!$G$24+'Annual Income Statement US$'!$G$27))*12),((Z25+Z26)/-SUM(OFFSET('Interim Inc Statement US$'!Z24,0,-1,,2),OFFSET('Interim Inc Statement US$'!Z27,0,-1,,2))))),"")</f>
        <v>1.2356665661506254</v>
      </c>
      <c r="AA87" s="258">
        <f ca="1">IFERROR(IF(Inputs!$E$14="Quarterly",IF(YEAR(AA3)=Inputs!$E$17,((AA25+AA26)/-AVERAGE(('Annual Income Statement US$'!$F$24+'Annual Income Statement US$'!$F$27),('Annual Income Statement US$'!$G$24+'Annual Income Statement US$'!$G$27))*12),((AA25+AA26)/-SUM(OFFSET('Interim Inc Statement US$'!AA24,0,-3,,4),OFFSET('Interim Inc Statement US$'!AA27,0,-3,,4)))),IF(AA3&lt;=DATE(Inputs!$E$17,Inputs!$E$15,Inputs!$E$16),((AA25+AA26)/-AVERAGE(('Annual Income Statement US$'!$F$24+'Annual Income Statement US$'!$F$27),('Annual Income Statement US$'!$G$24+'Annual Income Statement US$'!$G$27))*12),((AA25+AA26)/-SUM(OFFSET('Interim Inc Statement US$'!AA24,0,-1,,2),OFFSET('Interim Inc Statement US$'!AA27,0,-1,,2))))),"")</f>
        <v>0.98297755207191062</v>
      </c>
      <c r="AB87" s="258">
        <f ca="1">IFERROR(IF(Inputs!$E$14="Quarterly",IF(YEAR(AB3)=Inputs!$E$17,((AB25+AB26)/-AVERAGE(('Annual Income Statement US$'!$F$24+'Annual Income Statement US$'!$F$27),('Annual Income Statement US$'!$G$24+'Annual Income Statement US$'!$G$27))*12),((AB25+AB26)/-SUM(OFFSET('Interim Inc Statement US$'!AB24,0,-3,,4),OFFSET('Interim Inc Statement US$'!AB27,0,-3,,4)))),IF(AB3&lt;=DATE(Inputs!$E$17,Inputs!$E$15,Inputs!$E$16),((AB25+AB26)/-AVERAGE(('Annual Income Statement US$'!$F$24+'Annual Income Statement US$'!$F$27),('Annual Income Statement US$'!$G$24+'Annual Income Statement US$'!$G$27))*12),((AB25+AB26)/-SUM(OFFSET('Interim Inc Statement US$'!AB24,0,-1,,2),OFFSET('Interim Inc Statement US$'!AB27,0,-1,,2))))),"")</f>
        <v>1.3712081344819023</v>
      </c>
    </row>
    <row r="88" spans="1:28" x14ac:dyDescent="0.3">
      <c r="A88" s="85" t="s">
        <v>141</v>
      </c>
      <c r="B88" s="2">
        <f>IFERROR((B25+B26)/B70,"")</f>
        <v>0.4907869812295505</v>
      </c>
      <c r="C88" s="2">
        <f t="shared" ref="C88:K88" si="148">IFERROR((C25+C26)/C70,"")</f>
        <v>0.53744885251734564</v>
      </c>
      <c r="D88" s="2">
        <f t="shared" si="148"/>
        <v>0.50765721733463676</v>
      </c>
      <c r="E88" s="2">
        <f t="shared" si="148"/>
        <v>0.41789177353769158</v>
      </c>
      <c r="F88" s="2">
        <f t="shared" si="148"/>
        <v>0.45704094292803971</v>
      </c>
      <c r="G88" s="2">
        <f t="shared" si="148"/>
        <v>0.45294964028776985</v>
      </c>
      <c r="H88" s="2">
        <f t="shared" si="148"/>
        <v>0.49218861975060912</v>
      </c>
      <c r="I88" s="2">
        <f t="shared" si="148"/>
        <v>0.45013599274705351</v>
      </c>
      <c r="J88" s="2">
        <f t="shared" si="148"/>
        <v>0.53419811320754707</v>
      </c>
      <c r="K88" s="2">
        <f t="shared" si="148"/>
        <v>0.59926090169992619</v>
      </c>
      <c r="L88" s="2">
        <f t="shared" ref="L88:P88" si="149">IFERROR((L25+L26)/L70,"")</f>
        <v>0.65334176015168266</v>
      </c>
      <c r="M88" s="2">
        <f t="shared" si="149"/>
        <v>0.62167020755025326</v>
      </c>
      <c r="N88" s="2">
        <f t="shared" si="149"/>
        <v>0.66735935876502905</v>
      </c>
      <c r="O88" s="2">
        <f t="shared" si="149"/>
        <v>0.6663812785388129</v>
      </c>
      <c r="P88" s="2">
        <f t="shared" si="149"/>
        <v>0.73704702006588796</v>
      </c>
      <c r="Q88" s="2">
        <f t="shared" ref="Q88:S88" si="150">IFERROR((Q25+Q26)/Q70,"")</f>
        <v>0.47444814030843668</v>
      </c>
      <c r="R88" s="2">
        <f t="shared" si="150"/>
        <v>0.60602310231023104</v>
      </c>
      <c r="S88" s="2">
        <f t="shared" si="150"/>
        <v>0.62649455084118078</v>
      </c>
      <c r="T88" s="2">
        <f t="shared" ref="T88:U88" si="151">IFERROR((T25+T26)/T70,"")</f>
        <v>0.62702991452991452</v>
      </c>
      <c r="U88" s="2">
        <f t="shared" si="151"/>
        <v>0.63719974031594895</v>
      </c>
      <c r="V88" s="2">
        <f t="shared" ref="V88:Y88" si="152">IFERROR((V25+V26)/V70,"")</f>
        <v>0.57308519592256624</v>
      </c>
      <c r="W88" s="2">
        <f t="shared" si="152"/>
        <v>0.63168664133294361</v>
      </c>
      <c r="X88" s="2">
        <f t="shared" si="152"/>
        <v>0.59071569670262869</v>
      </c>
      <c r="Y88" s="2">
        <f t="shared" si="152"/>
        <v>0.57748864423743174</v>
      </c>
      <c r="Z88" s="2">
        <f t="shared" ref="Z88:AA88" si="153">IFERROR((Z25+Z26)/Z70,"")</f>
        <v>0.46808343789209533</v>
      </c>
      <c r="AA88" s="2">
        <f t="shared" si="153"/>
        <v>0.39957633767456452</v>
      </c>
      <c r="AB88" s="2">
        <f t="shared" ref="AB88" si="154">IFERROR((AB25+AB26)/AB70,"")</f>
        <v>0.52164009111617304</v>
      </c>
    </row>
    <row r="89" spans="1:28" x14ac:dyDescent="0.3">
      <c r="A89" s="8" t="s">
        <v>142</v>
      </c>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x14ac:dyDescent="0.3">
      <c r="A90" s="85" t="s">
        <v>143</v>
      </c>
      <c r="B90" s="25">
        <f>IFERROR(B72/'Annual Income Statement US$'!B28,"")</f>
        <v>2.2980601983729465</v>
      </c>
      <c r="C90" s="25">
        <f>IFERROR(C72/'Annual Income Statement US$'!C28,"")</f>
        <v>2.2894542594563041</v>
      </c>
      <c r="D90" s="25">
        <f>IFERROR(D72/'Annual Income Statement US$'!D28,"")</f>
        <v>2.022346934642683</v>
      </c>
      <c r="E90" s="25">
        <f>IFERROR(E72/'Annual Income Statement US$'!E28,"")</f>
        <v>2.3123976612698436</v>
      </c>
      <c r="F90" s="25">
        <f>IFERROR(F72/'Annual Income Statement US$'!F28,"")</f>
        <v>2.0713215798774938</v>
      </c>
      <c r="G90" s="25">
        <f>IFERROR(G72/'Annual Income Statement US$'!G28,"")</f>
        <v>1.7403364957993022</v>
      </c>
      <c r="H90" s="25">
        <f>IFERROR(H72/'Annual Income Statement US$'!H28,"")</f>
        <v>1.5882973698264831</v>
      </c>
      <c r="I90" s="25">
        <f>IFERROR(I72/'Annual Income Statement US$'!M28,"")</f>
        <v>-1.8575219115284278</v>
      </c>
      <c r="J90" s="25" t="str">
        <f>IFERROR(J72/'Annual Income Statement US$'!N28,"")</f>
        <v/>
      </c>
      <c r="K90" s="25" t="str">
        <f>IFERROR(K72/'Annual Income Statement US$'!O28,"")</f>
        <v/>
      </c>
      <c r="L90" s="25" t="str">
        <f>IFERROR(L72/'Annual Income Statement US$'!P28,"")</f>
        <v/>
      </c>
      <c r="M90" s="25" t="str">
        <f>IFERROR(M72/'Annual Income Statement US$'!Q28,"")</f>
        <v/>
      </c>
      <c r="N90" s="25" t="str">
        <f>IFERROR(N72/'Annual Income Statement US$'!R28,"")</f>
        <v/>
      </c>
      <c r="O90" s="25" t="str">
        <f>IFERROR(O72/'Annual Income Statement US$'!S28,"")</f>
        <v/>
      </c>
      <c r="P90" s="25" t="str">
        <f>IFERROR(P72/'Annual Income Statement US$'!T28,"")</f>
        <v/>
      </c>
      <c r="Q90" s="25" t="str">
        <f>IFERROR(Q72/'Annual Income Statement US$'!U28,"")</f>
        <v/>
      </c>
      <c r="R90" s="25" t="str">
        <f>IFERROR(R72/'Annual Income Statement US$'!V28,"")</f>
        <v/>
      </c>
      <c r="S90" s="25" t="str">
        <f>IFERROR(S72/'Annual Income Statement US$'!W28,"")</f>
        <v/>
      </c>
      <c r="T90" s="25" t="str">
        <f>IFERROR(T72/'Annual Income Statement US$'!X28,"")</f>
        <v/>
      </c>
      <c r="U90" s="25" t="str">
        <f>IFERROR(U72/'Annual Income Statement US$'!Y28,"")</f>
        <v/>
      </c>
      <c r="V90" s="25" t="str">
        <f>IFERROR(V72/'Annual Income Statement US$'!Z28,"")</f>
        <v/>
      </c>
      <c r="W90" s="25" t="str">
        <f>IFERROR(W72/'Annual Income Statement US$'!AA28,"")</f>
        <v/>
      </c>
      <c r="X90" s="25" t="str">
        <f>IFERROR(X72/'Annual Income Statement US$'!AB28,"")</f>
        <v/>
      </c>
      <c r="Y90" s="25" t="str">
        <f>IFERROR(Y72/'Annual Income Statement US$'!AC28,"")</f>
        <v/>
      </c>
      <c r="Z90" s="25" t="str">
        <f>IFERROR(Z72/'Annual Income Statement US$'!AD28,"")</f>
        <v/>
      </c>
      <c r="AA90" s="25" t="str">
        <f>IFERROR(AA72/'Annual Income Statement US$'!AE28,"")</f>
        <v/>
      </c>
      <c r="AB90" s="25" t="str">
        <f>IFERROR(AB72/'Annual Income Statement US$'!AF28,"")</f>
        <v/>
      </c>
    </row>
    <row r="91" spans="1:28" x14ac:dyDescent="0.3">
      <c r="A91" s="85" t="s">
        <v>144</v>
      </c>
      <c r="B91" s="25">
        <f>IFERROR(B72/B66,"")</f>
        <v>-2.437757625721352</v>
      </c>
      <c r="C91" s="25">
        <f t="shared" ref="C91:K91" si="155">IFERROR(C72/C66,"")</f>
        <v>-6.7010309278350517</v>
      </c>
      <c r="D91" s="25">
        <f t="shared" si="155"/>
        <v>-59.25490196078426</v>
      </c>
      <c r="E91" s="25">
        <f t="shared" si="155"/>
        <v>93.049999999999955</v>
      </c>
      <c r="F91" s="25">
        <f t="shared" si="155"/>
        <v>-4.7827868852459021</v>
      </c>
      <c r="G91" s="25">
        <f t="shared" si="155"/>
        <v>-5.6493313521545323</v>
      </c>
      <c r="H91" s="25">
        <f t="shared" si="155"/>
        <v>22.006211180124208</v>
      </c>
      <c r="I91" s="25">
        <f t="shared" si="155"/>
        <v>2.9852337981952415</v>
      </c>
      <c r="J91" s="25">
        <f t="shared" si="155"/>
        <v>3.4162162162162173</v>
      </c>
      <c r="K91" s="25">
        <f t="shared" si="155"/>
        <v>2.2648287385129482</v>
      </c>
      <c r="L91" s="25">
        <f t="shared" ref="L91:P91" si="156">IFERROR(L72/L66,"")</f>
        <v>0.71535702641017296</v>
      </c>
      <c r="M91" s="25">
        <f t="shared" si="156"/>
        <v>0.68511393903521767</v>
      </c>
      <c r="N91" s="25">
        <f t="shared" si="156"/>
        <v>0.67765346235258517</v>
      </c>
      <c r="O91" s="25">
        <f t="shared" si="156"/>
        <v>0.59841310468390052</v>
      </c>
      <c r="P91" s="25">
        <f t="shared" si="156"/>
        <v>0.38593406593406598</v>
      </c>
      <c r="Q91" s="25">
        <f t="shared" ref="Q91:S91" si="157">IFERROR(Q72/Q66,"")</f>
        <v>1.5910894110466891</v>
      </c>
      <c r="R91" s="25">
        <f t="shared" si="157"/>
        <v>1.1614472484037701</v>
      </c>
      <c r="S91" s="25">
        <f t="shared" si="157"/>
        <v>1.048722519310755</v>
      </c>
      <c r="T91" s="25">
        <f t="shared" ref="T91:U91" si="158">IFERROR(T72/T66,"")</f>
        <v>0.86346772198862221</v>
      </c>
      <c r="U91" s="25">
        <f t="shared" si="158"/>
        <v>0.76204545454545458</v>
      </c>
      <c r="V91" s="25">
        <f t="shared" ref="V91:Y91" si="159">IFERROR(V72/V66,"")</f>
        <v>1.0713447547524053</v>
      </c>
      <c r="W91" s="25">
        <f t="shared" si="159"/>
        <v>2.4669603524229071</v>
      </c>
      <c r="X91" s="25">
        <f t="shared" si="159"/>
        <v>3.1411078717201173</v>
      </c>
      <c r="Y91" s="25">
        <f t="shared" si="159"/>
        <v>3.1999999999999993</v>
      </c>
      <c r="Z91" s="25">
        <f t="shared" ref="Z91:AA91" si="160">IFERROR(Z72/Z66,"")</f>
        <v>7.503318584070799</v>
      </c>
      <c r="AA91" s="25">
        <f t="shared" si="160"/>
        <v>13.263431542461003</v>
      </c>
      <c r="AB91" s="25">
        <f t="shared" ref="AB91" si="161">IFERROR(AB72/AB66,"")</f>
        <v>55.034482758620435</v>
      </c>
    </row>
    <row r="92" spans="1:28" x14ac:dyDescent="0.3">
      <c r="A92" s="85" t="s">
        <v>145</v>
      </c>
      <c r="B92" s="25">
        <f>IFERROR(B72/(B72+B66),"")</f>
        <v>1.6955275229357796</v>
      </c>
      <c r="C92" s="25">
        <f t="shared" ref="C92:K92" si="162">IFERROR(C72/(C72+C66),"")</f>
        <v>1.1754068716094033</v>
      </c>
      <c r="D92" s="25">
        <f t="shared" si="162"/>
        <v>1.0171659373948165</v>
      </c>
      <c r="E92" s="25">
        <f t="shared" si="162"/>
        <v>0.98936735778841045</v>
      </c>
      <c r="F92" s="25">
        <f t="shared" si="162"/>
        <v>1.2643553629469122</v>
      </c>
      <c r="G92" s="25">
        <f t="shared" si="162"/>
        <v>1.2150846915947586</v>
      </c>
      <c r="H92" s="25">
        <f t="shared" si="162"/>
        <v>0.95653347732181415</v>
      </c>
      <c r="I92" s="25">
        <f t="shared" si="162"/>
        <v>0.7490736928777274</v>
      </c>
      <c r="J92" s="25">
        <f t="shared" si="162"/>
        <v>0.77356181150550796</v>
      </c>
      <c r="K92" s="25">
        <f t="shared" si="162"/>
        <v>0.69370522006141244</v>
      </c>
      <c r="L92" s="25">
        <f t="shared" ref="L92:P92" si="163">IFERROR(L72/(L72+L66),"")</f>
        <v>0.41703098270290823</v>
      </c>
      <c r="M92" s="25">
        <f t="shared" si="163"/>
        <v>0.40656831752722167</v>
      </c>
      <c r="N92" s="25">
        <f t="shared" si="163"/>
        <v>0.4039293439077144</v>
      </c>
      <c r="O92" s="25">
        <f t="shared" si="163"/>
        <v>0.37437950360288225</v>
      </c>
      <c r="P92" s="25">
        <f t="shared" si="163"/>
        <v>0.27846495401205201</v>
      </c>
      <c r="Q92" s="25">
        <f t="shared" ref="Q92:S92" si="164">IFERROR(Q72/(Q72+Q66),"")</f>
        <v>0.61406194794488278</v>
      </c>
      <c r="R92" s="25">
        <f t="shared" si="164"/>
        <v>0.53734702489801656</v>
      </c>
      <c r="S92" s="25">
        <f t="shared" si="164"/>
        <v>0.51189095127610218</v>
      </c>
      <c r="T92" s="25">
        <f t="shared" ref="T92:U92" si="165">IFERROR(T72/(T72+T66),"")</f>
        <v>0.46336607379877881</v>
      </c>
      <c r="U92" s="25">
        <f t="shared" si="165"/>
        <v>0.43247775054817489</v>
      </c>
      <c r="V92" s="25">
        <f t="shared" ref="V92:Y92" si="166">IFERROR(V72/(V72+V66),"")</f>
        <v>0.51722184455019249</v>
      </c>
      <c r="W92" s="25">
        <f t="shared" si="166"/>
        <v>0.71156289707750953</v>
      </c>
      <c r="X92" s="25">
        <f t="shared" si="166"/>
        <v>0.75851872711912138</v>
      </c>
      <c r="Y92" s="25">
        <f t="shared" si="166"/>
        <v>0.76190476190476186</v>
      </c>
      <c r="Z92" s="25">
        <f t="shared" ref="Z92:AA92" si="167">IFERROR(Z72/(Z72+Z66),"")</f>
        <v>0.88239885521009498</v>
      </c>
      <c r="AA92" s="25">
        <f t="shared" si="167"/>
        <v>0.92989064398541921</v>
      </c>
      <c r="AB92" s="25">
        <f t="shared" ref="AB92" si="168">IFERROR(AB72/(AB72+AB66),"")</f>
        <v>0.98215384615384616</v>
      </c>
    </row>
    <row r="93" spans="1:28" x14ac:dyDescent="0.3">
      <c r="A93" s="85" t="s">
        <v>146</v>
      </c>
      <c r="B93" s="257">
        <f ca="1">IFERROR(IF(Inputs!$E$14 = "Quarterly", IF(YEAR(B3)=Inputs!$E$17, B75/AVERAGE('Annual Income Statement US$'!$F$26,'Annual Income Statement US$'!$G$26), B75/SUM(OFFSET('Interim Inc Statement US$'!B26,0,-3,,4))),IF(B3&lt;=DATE(Inputs!$E$17,Inputs!$E$15,Inputs!$E$16), B75/AVERAGE('Annual Income Statement US$'!$F$26,'Annual Income Statement US$'!$G$26), B75/SUM(OFFSET('Interim Inc Statement US$'!B26,0,-1,,2)))),"")</f>
        <v>2.4299439115935386</v>
      </c>
      <c r="C93" s="257">
        <f ca="1">IFERROR(IF(Inputs!$E$14 = "Quarterly", IF(YEAR(C3)=Inputs!$E$17, C75/AVERAGE('Annual Income Statement US$'!$F$26,'Annual Income Statement US$'!$G$26), C75/SUM(OFFSET('Interim Inc Statement US$'!C26,0,-3,,4))),IF(C3&lt;=DATE(Inputs!$E$17,Inputs!$E$15,Inputs!$E$16), C75/AVERAGE('Annual Income Statement US$'!$F$26,'Annual Income Statement US$'!$G$26), C75/SUM(OFFSET('Interim Inc Statement US$'!C26,0,-1,,2)))),"")</f>
        <v>2.3067835022060144</v>
      </c>
      <c r="D93" s="257">
        <f ca="1">IFERROR(IF(Inputs!$E$14 = "Quarterly", IF(YEAR(D3)=Inputs!$E$17, D75/AVERAGE('Annual Income Statement US$'!$F$26,'Annual Income Statement US$'!$G$26), D75/SUM(OFFSET('Interim Inc Statement US$'!D26,0,-3,,4))),IF(D3&lt;=DATE(Inputs!$E$17,Inputs!$E$15,Inputs!$E$16), D75/AVERAGE('Annual Income Statement US$'!$F$26,'Annual Income Statement US$'!$G$26), D75/SUM(OFFSET('Interim Inc Statement US$'!D26,0,-1,,2)))),"")</f>
        <v>2.3939873695688187</v>
      </c>
      <c r="E93" s="257">
        <f ca="1">IFERROR(IF(Inputs!$E$14 = "Quarterly", IF(YEAR(E3)=Inputs!$E$17, E75/AVERAGE('Annual Income Statement US$'!$F$26,'Annual Income Statement US$'!$G$26), E75/SUM(OFFSET('Interim Inc Statement US$'!E26,0,-3,,4))),IF(E3&lt;=DATE(Inputs!$E$17,Inputs!$E$15,Inputs!$E$16), E75/AVERAGE('Annual Income Statement US$'!$F$26,'Annual Income Statement US$'!$G$26), E75/SUM(OFFSET('Interim Inc Statement US$'!E26,0,-1,,2)))),"")</f>
        <v>2.6359463581935461</v>
      </c>
      <c r="F93" s="257">
        <f ca="1">IFERROR(IF(Inputs!$E$14 = "Quarterly", IF(YEAR(F3)=Inputs!$E$17, F75/AVERAGE('Annual Income Statement US$'!$F$26,'Annual Income Statement US$'!$G$26), F75/SUM(OFFSET('Interim Inc Statement US$'!F26,0,-3,,4))),IF(F3&lt;=DATE(Inputs!$E$17,Inputs!$E$15,Inputs!$E$16), F75/AVERAGE('Annual Income Statement US$'!$F$26,'Annual Income Statement US$'!$G$26), F75/SUM(OFFSET('Interim Inc Statement US$'!F26,0,-1,,2)))),"")</f>
        <v>2.4504049515655741</v>
      </c>
      <c r="G93" s="257">
        <f ca="1">IFERROR(IF(Inputs!$E$14 = "Quarterly", IF(YEAR(G3)=Inputs!$E$17, G75/AVERAGE('Annual Income Statement US$'!$F$26,'Annual Income Statement US$'!$G$26), G75/SUM(OFFSET('Interim Inc Statement US$'!G26,0,-3,,4))),IF(G3&lt;=DATE(Inputs!$E$17,Inputs!$E$15,Inputs!$E$16), G75/AVERAGE('Annual Income Statement US$'!$F$26,'Annual Income Statement US$'!$G$26), G75/SUM(OFFSET('Interim Inc Statement US$'!G26,0,-1,,2)))),"")</f>
        <v>2.637485102440063</v>
      </c>
      <c r="H93" s="257">
        <f ca="1">IFERROR(IF(Inputs!$E$14 = "Quarterly", IF(YEAR(H3)=Inputs!$E$17, H75/AVERAGE('Annual Income Statement US$'!$F$26,'Annual Income Statement US$'!$G$26), H75/SUM(OFFSET('Interim Inc Statement US$'!H26,0,-3,,4))),IF(H3&lt;=DATE(Inputs!$E$17,Inputs!$E$15,Inputs!$E$16), H75/AVERAGE('Annual Income Statement US$'!$F$26,'Annual Income Statement US$'!$G$26), H75/SUM(OFFSET('Interim Inc Statement US$'!H26,0,-1,,2)))),"")</f>
        <v>2.4323327774068244</v>
      </c>
      <c r="I93" s="257">
        <f ca="1">IFERROR(IF(Inputs!$E$14 = "Quarterly", IF(YEAR(I3)=Inputs!$E$17, I75/AVERAGE('Annual Income Statement US$'!$F$26,'Annual Income Statement US$'!$G$26), I75/SUM(OFFSET('Interim Inc Statement US$'!I26,0,-3,,4))),IF(I3&lt;=DATE(Inputs!$E$17,Inputs!$E$15,Inputs!$E$16), I75/AVERAGE('Annual Income Statement US$'!$F$26,'Annual Income Statement US$'!$G$26), I75/SUM(OFFSET('Interim Inc Statement US$'!I26,0,-1,,2)))),"")</f>
        <v>2.4992302939490414</v>
      </c>
      <c r="J93" s="257">
        <f ca="1">IFERROR(IF(Inputs!$E$14 = "Quarterly", IF(YEAR(J3)=Inputs!$E$17, J75/AVERAGE('Annual Income Statement US$'!$F$26,'Annual Income Statement US$'!$G$26), J75/SUM(OFFSET('Interim Inc Statement US$'!J26,0,-3,,4))),IF(J3&lt;=DATE(Inputs!$E$17,Inputs!$E$15,Inputs!$E$16), J75/AVERAGE('Annual Income Statement US$'!$F$26,'Annual Income Statement US$'!$G$26), J75/SUM(OFFSET('Interim Inc Statement US$'!J26,0,-1,,2)))),"")</f>
        <v>2.4669565446267803</v>
      </c>
      <c r="K93" s="257">
        <f ca="1">IFERROR(IF(Inputs!$E$14 = "Quarterly", IF(YEAR(K3)=Inputs!$E$17, K75/AVERAGE('Annual Income Statement US$'!$F$26,'Annual Income Statement US$'!$G$26), K75/SUM(OFFSET('Interim Inc Statement US$'!K26,0,-3,,4))),IF(K3&lt;=DATE(Inputs!$E$17,Inputs!$E$15,Inputs!$E$16), K75/AVERAGE('Annual Income Statement US$'!$F$26,'Annual Income Statement US$'!$G$26), K75/SUM(OFFSET('Interim Inc Statement US$'!K26,0,-1,,2)))),"")</f>
        <v>2.301095168148751</v>
      </c>
      <c r="L93" s="257">
        <f ca="1">IFERROR(IF(Inputs!$E$14 = "Quarterly", IF(YEAR(L3)=Inputs!$E$17, L75/AVERAGE('Annual Income Statement US$'!$F$26,'Annual Income Statement US$'!$G$26), L75/SUM(OFFSET('Interim Inc Statement US$'!L26,0,-3,,4))),IF(L3&lt;=DATE(Inputs!$E$17,Inputs!$E$15,Inputs!$E$16), L75/AVERAGE('Annual Income Statement US$'!$F$26,'Annual Income Statement US$'!$G$26), L75/SUM(OFFSET('Interim Inc Statement US$'!L26,0,-1,,2)))),"")</f>
        <v>2.0093767738227339</v>
      </c>
      <c r="M93" s="257">
        <f ca="1">IFERROR(IF(Inputs!$E$14 = "Quarterly", IF(YEAR(M3)=Inputs!$E$17, M75/AVERAGE('Annual Income Statement US$'!$F$26,'Annual Income Statement US$'!$G$26), M75/SUM(OFFSET('Interim Inc Statement US$'!M26,0,-3,,4))),IF(M3&lt;=DATE(Inputs!$E$17,Inputs!$E$15,Inputs!$E$16), M75/AVERAGE('Annual Income Statement US$'!$F$26,'Annual Income Statement US$'!$G$26), M75/SUM(OFFSET('Interim Inc Statement US$'!M26,0,-1,,2)))),"")</f>
        <v>2.0307023113405558</v>
      </c>
      <c r="N93" s="257">
        <f ca="1">IFERROR(IF(Inputs!$E$14 = "Quarterly", IF(YEAR(N3)=Inputs!$E$17, N75/AVERAGE('Annual Income Statement US$'!$F$26,'Annual Income Statement US$'!$G$26), N75/SUM(OFFSET('Interim Inc Statement US$'!N26,0,-3,,4))),IF(N3&lt;=DATE(Inputs!$E$17,Inputs!$E$15,Inputs!$E$16), N75/AVERAGE('Annual Income Statement US$'!$F$26,'Annual Income Statement US$'!$G$26), N75/SUM(OFFSET('Interim Inc Statement US$'!N26,0,-1,,2)))),"")</f>
        <v>1.9590792752364619</v>
      </c>
      <c r="O93" s="257">
        <f ca="1">IFERROR(IF(Inputs!$E$14 = "Quarterly", IF(YEAR(O3)=Inputs!$E$17, O75/AVERAGE('Annual Income Statement US$'!$F$26,'Annual Income Statement US$'!$G$26), O75/SUM(OFFSET('Interim Inc Statement US$'!O26,0,-3,,4))),IF(O3&lt;=DATE(Inputs!$E$17,Inputs!$E$15,Inputs!$E$16), O75/AVERAGE('Annual Income Statement US$'!$F$26,'Annual Income Statement US$'!$G$26), O75/SUM(OFFSET('Interim Inc Statement US$'!O26,0,-1,,2)))),"")</f>
        <v>1.9732442276188848</v>
      </c>
      <c r="P93" s="257">
        <f ca="1">IFERROR(IF(Inputs!$E$14 = "Quarterly", IF(YEAR(P3)=Inputs!$E$17, P75/AVERAGE('Annual Income Statement US$'!$F$26,'Annual Income Statement US$'!$G$26), P75/SUM(OFFSET('Interim Inc Statement US$'!P26,0,-3,,4))),IF(P3&lt;=DATE(Inputs!$E$17,Inputs!$E$15,Inputs!$E$16), P75/AVERAGE('Annual Income Statement US$'!$F$26,'Annual Income Statement US$'!$G$26), P75/SUM(OFFSET('Interim Inc Statement US$'!P26,0,-1,,2)))),"")</f>
        <v>1.9435740310897325</v>
      </c>
      <c r="Q93" s="257">
        <f ca="1">IFERROR(IF(Inputs!$E$14 = "Quarterly", IF(YEAR(Q3)=Inputs!$E$17, Q75/AVERAGE('Annual Income Statement US$'!$F$26,'Annual Income Statement US$'!$G$26), Q75/SUM(OFFSET('Interim Inc Statement US$'!Q26,0,-3,,4))),IF(Q3&lt;=DATE(Inputs!$E$17,Inputs!$E$15,Inputs!$E$16), Q75/AVERAGE('Annual Income Statement US$'!$F$26,'Annual Income Statement US$'!$G$26), Q75/SUM(OFFSET('Interim Inc Statement US$'!Q26,0,-1,,2)))),"")</f>
        <v>3.1080809380897096</v>
      </c>
      <c r="R93" s="257">
        <f ca="1">IFERROR(IF(Inputs!$E$14 = "Quarterly", IF(YEAR(R3)=Inputs!$E$17, R75/AVERAGE('Annual Income Statement US$'!$F$26,'Annual Income Statement US$'!$G$26), R75/SUM(OFFSET('Interim Inc Statement US$'!R26,0,-3,,4))),IF(R3&lt;=DATE(Inputs!$E$17,Inputs!$E$15,Inputs!$E$16), R75/AVERAGE('Annual Income Statement US$'!$F$26,'Annual Income Statement US$'!$G$26), R75/SUM(OFFSET('Interim Inc Statement US$'!R26,0,-1,,2)))),"")</f>
        <v>2.1863848094374854</v>
      </c>
      <c r="S93" s="257">
        <f ca="1">IFERROR(IF(Inputs!$E$14 = "Quarterly", IF(YEAR(S3)=Inputs!$E$17, S75/AVERAGE('Annual Income Statement US$'!$F$26,'Annual Income Statement US$'!$G$26), S75/SUM(OFFSET('Interim Inc Statement US$'!S26,0,-3,,4))),IF(S3&lt;=DATE(Inputs!$E$17,Inputs!$E$15,Inputs!$E$16), S75/AVERAGE('Annual Income Statement US$'!$F$26,'Annual Income Statement US$'!$G$26), S75/SUM(OFFSET('Interim Inc Statement US$'!S26,0,-1,,2)))),"")</f>
        <v>1.6731874919235339</v>
      </c>
      <c r="T93" s="257">
        <f ca="1">IFERROR(IF(Inputs!$E$14 = "Quarterly", IF(YEAR(T3)=Inputs!$E$17, T75/AVERAGE('Annual Income Statement US$'!$F$26,'Annual Income Statement US$'!$G$26), T75/SUM(OFFSET('Interim Inc Statement US$'!T26,0,-3,,4))),IF(T3&lt;=DATE(Inputs!$E$17,Inputs!$E$15,Inputs!$E$16), T75/AVERAGE('Annual Income Statement US$'!$F$26,'Annual Income Statement US$'!$G$26), T75/SUM(OFFSET('Interim Inc Statement US$'!T26,0,-1,,2)))),"")</f>
        <v>1.2689415295469602</v>
      </c>
      <c r="U93" s="257">
        <f ca="1">IFERROR(IF(Inputs!$E$14 = "Quarterly", IF(YEAR(U3)=Inputs!$E$17, U75/AVERAGE('Annual Income Statement US$'!$F$26,'Annual Income Statement US$'!$G$26), U75/SUM(OFFSET('Interim Inc Statement US$'!U26,0,-3,,4))),IF(U3&lt;=DATE(Inputs!$E$17,Inputs!$E$15,Inputs!$E$16), U75/AVERAGE('Annual Income Statement US$'!$F$26,'Annual Income Statement US$'!$G$26), U75/SUM(OFFSET('Interim Inc Statement US$'!U26,0,-1,,2)))),"")</f>
        <v>0.94142921209699548</v>
      </c>
      <c r="V93" s="257">
        <f ca="1">IFERROR(IF(Inputs!$E$14 = "Quarterly", IF(YEAR(V3)=Inputs!$E$17, V75/AVERAGE('Annual Income Statement US$'!$F$26,'Annual Income Statement US$'!$G$26), V75/SUM(OFFSET('Interim Inc Statement US$'!V26,0,-3,,4))),IF(V3&lt;=DATE(Inputs!$E$17,Inputs!$E$15,Inputs!$E$16), V75/AVERAGE('Annual Income Statement US$'!$F$26,'Annual Income Statement US$'!$G$26), V75/SUM(OFFSET('Interim Inc Statement US$'!V26,0,-1,,2)))),"")</f>
        <v>1.3723048157419449</v>
      </c>
      <c r="W93" s="257">
        <f ca="1">IFERROR(IF(Inputs!$E$14 = "Quarterly", IF(YEAR(W3)=Inputs!$E$17, W75/AVERAGE('Annual Income Statement US$'!$F$26,'Annual Income Statement US$'!$G$26), W75/SUM(OFFSET('Interim Inc Statement US$'!W26,0,-3,,4))),IF(W3&lt;=DATE(Inputs!$E$17,Inputs!$E$15,Inputs!$E$16), W75/AVERAGE('Annual Income Statement US$'!$F$26,'Annual Income Statement US$'!$G$26), W75/SUM(OFFSET('Interim Inc Statement US$'!W26,0,-1,,2)))),"")</f>
        <v>3.2665265188948536</v>
      </c>
      <c r="X93" s="257">
        <f ca="1">IFERROR(IF(Inputs!$E$14 = "Quarterly", IF(YEAR(X3)=Inputs!$E$17, X75/AVERAGE('Annual Income Statement US$'!$F$26,'Annual Income Statement US$'!$G$26), X75/SUM(OFFSET('Interim Inc Statement US$'!X26,0,-3,,4))),IF(X3&lt;=DATE(Inputs!$E$17,Inputs!$E$15,Inputs!$E$16), X75/AVERAGE('Annual Income Statement US$'!$F$26,'Annual Income Statement US$'!$G$26), X75/SUM(OFFSET('Interim Inc Statement US$'!X26,0,-1,,2)))),"")</f>
        <v>-16.192337174592957</v>
      </c>
      <c r="Y93" s="257">
        <f ca="1">IFERROR(IF(Inputs!$E$14 = "Quarterly", IF(YEAR(Y3)=Inputs!$E$17, Y75/AVERAGE('Annual Income Statement US$'!$F$26,'Annual Income Statement US$'!$G$26), Y75/SUM(OFFSET('Interim Inc Statement US$'!Y26,0,-3,,4))),IF(Y3&lt;=DATE(Inputs!$E$17,Inputs!$E$15,Inputs!$E$16), Y75/AVERAGE('Annual Income Statement US$'!$F$26,'Annual Income Statement US$'!$G$26), Y75/SUM(OFFSET('Interim Inc Statement US$'!Y26,0,-1,,2)))),"")</f>
        <v>-3.4651291861254108</v>
      </c>
      <c r="Z93" s="257">
        <f ca="1">IFERROR(IF(Inputs!$E$14 = "Quarterly", IF(YEAR(Z3)=Inputs!$E$17, Z75/AVERAGE('Annual Income Statement US$'!$F$26,'Annual Income Statement US$'!$G$26), Z75/SUM(OFFSET('Interim Inc Statement US$'!Z26,0,-3,,4))),IF(Z3&lt;=DATE(Inputs!$E$17,Inputs!$E$15,Inputs!$E$16), Z75/AVERAGE('Annual Income Statement US$'!$F$26,'Annual Income Statement US$'!$G$26), Z75/SUM(OFFSET('Interim Inc Statement US$'!Z26,0,-1,,2)))),"")</f>
        <v>-3.1428260596373949</v>
      </c>
      <c r="AA93" s="257">
        <f ca="1">IFERROR(IF(Inputs!$E$14 = "Quarterly", IF(YEAR(AA3)=Inputs!$E$17, AA75/AVERAGE('Annual Income Statement US$'!$F$26,'Annual Income Statement US$'!$G$26), AA75/SUM(OFFSET('Interim Inc Statement US$'!AA26,0,-3,,4))),IF(AA3&lt;=DATE(Inputs!$E$17,Inputs!$E$15,Inputs!$E$16), AA75/AVERAGE('Annual Income Statement US$'!$F$26,'Annual Income Statement US$'!$G$26), AA75/SUM(OFFSET('Interim Inc Statement US$'!AA26,0,-1,,2)))),"")</f>
        <v>-3.5036673491282411</v>
      </c>
      <c r="AB93" s="257">
        <f ca="1">IFERROR(IF(Inputs!$E$14 = "Quarterly", IF(YEAR(AB3)=Inputs!$E$17, AB75/AVERAGE('Annual Income Statement US$'!$F$26,'Annual Income Statement US$'!$G$26), AB75/SUM(OFFSET('Interim Inc Statement US$'!AB26,0,-3,,4))),IF(AB3&lt;=DATE(Inputs!$E$17,Inputs!$E$15,Inputs!$E$16), AB75/AVERAGE('Annual Income Statement US$'!$F$26,'Annual Income Statement US$'!$G$26), AB75/SUM(OFFSET('Interim Inc Statement US$'!AB26,0,-1,,2)))),"")</f>
        <v>-4.2753721686525337</v>
      </c>
    </row>
    <row r="94" spans="1:28" x14ac:dyDescent="0.3">
      <c r="A94" s="85" t="s">
        <v>147</v>
      </c>
      <c r="B94" s="25">
        <f ca="1">IFERROR(B75/B66,"")</f>
        <v>-4.5600052394597119</v>
      </c>
      <c r="C94" s="25">
        <f t="shared" ref="C94:K94" ca="1" si="169">IFERROR(C75/C66,"")</f>
        <v>-13.145793741438107</v>
      </c>
      <c r="D94" s="25">
        <f t="shared" ca="1" si="169"/>
        <v>-112.30916935749103</v>
      </c>
      <c r="E94" s="25">
        <f t="shared" ca="1" si="169"/>
        <v>162.96905239837085</v>
      </c>
      <c r="F94" s="25">
        <f t="shared" ca="1" si="169"/>
        <v>-8.3918895507252476</v>
      </c>
      <c r="G94" s="25">
        <f t="shared" ca="1" si="169"/>
        <v>-9.8171334983560836</v>
      </c>
      <c r="H94" s="25">
        <f t="shared" ca="1" si="169"/>
        <v>40.974964310759439</v>
      </c>
      <c r="I94" s="25">
        <f t="shared" ca="1" si="169"/>
        <v>5.6745303963074241</v>
      </c>
      <c r="J94" s="25">
        <f t="shared" ca="1" si="169"/>
        <v>7.0394346498319669</v>
      </c>
      <c r="K94" s="25">
        <f t="shared" ca="1" si="169"/>
        <v>5.1374674441131507</v>
      </c>
      <c r="L94" s="25">
        <f t="shared" ref="L94:P94" ca="1" si="170">IFERROR(L75/L66,"")</f>
        <v>1.8132546606542772</v>
      </c>
      <c r="M94" s="25">
        <f t="shared" ca="1" si="170"/>
        <v>1.6943800977959738</v>
      </c>
      <c r="N94" s="25">
        <f t="shared" ca="1" si="170"/>
        <v>1.7542342836152105</v>
      </c>
      <c r="O94" s="25">
        <f t="shared" ca="1" si="170"/>
        <v>1.5232881729698782</v>
      </c>
      <c r="P94" s="25">
        <f t="shared" ca="1" si="170"/>
        <v>1.1766337159430262</v>
      </c>
      <c r="Q94" s="25">
        <f t="shared" ref="Q94:S94" ca="1" si="171">IFERROR(Q75/Q66,"")</f>
        <v>2.7533264245684115</v>
      </c>
      <c r="R94" s="25">
        <f t="shared" ca="1" si="171"/>
        <v>2.0160454459916668</v>
      </c>
      <c r="S94" s="25">
        <f t="shared" ca="1" si="171"/>
        <v>1.6083783466781858</v>
      </c>
      <c r="T94" s="25">
        <f t="shared" ref="T94:U94" ca="1" si="172">IFERROR(T75/T66,"")</f>
        <v>1.0943141213781047</v>
      </c>
      <c r="U94" s="25">
        <f t="shared" ca="1" si="172"/>
        <v>0.76204545454545458</v>
      </c>
      <c r="V94" s="25">
        <f t="shared" ref="V94:Y94" ca="1" si="173">IFERROR(V75/V66,"")</f>
        <v>1.0713447547524053</v>
      </c>
      <c r="W94" s="25">
        <f t="shared" ca="1" si="173"/>
        <v>2.4669603524229071</v>
      </c>
      <c r="X94" s="25">
        <f t="shared" ca="1" si="173"/>
        <v>3.1411078717201173</v>
      </c>
      <c r="Y94" s="25">
        <f t="shared" ca="1" si="173"/>
        <v>3.1999999999999993</v>
      </c>
      <c r="Z94" s="25">
        <f t="shared" ref="Z94:AA94" ca="1" si="174">IFERROR(Z75/Z66,"")</f>
        <v>7.503318584070799</v>
      </c>
      <c r="AA94" s="25">
        <f t="shared" ca="1" si="174"/>
        <v>13.263431542461003</v>
      </c>
      <c r="AB94" s="25">
        <f t="shared" ref="AB94" ca="1" si="175">IFERROR(AB75/AB66,"")</f>
        <v>55.034482758620435</v>
      </c>
    </row>
    <row r="95" spans="1:28" s="27" customFormat="1" x14ac:dyDescent="0.3">
      <c r="A95" s="89" t="s">
        <v>148</v>
      </c>
      <c r="B95" s="25">
        <f ca="1">IFERROR(B75/(B66-B16),"")</f>
        <v>-3.0242134256230897</v>
      </c>
      <c r="C95" s="25">
        <f t="shared" ref="C95:K95" ca="1" si="176">IFERROR(C75/(C66-C16),"")</f>
        <v>-5.065112186373371</v>
      </c>
      <c r="D95" s="25">
        <f t="shared" ca="1" si="176"/>
        <v>-8.5234637458810205</v>
      </c>
      <c r="E95" s="25">
        <f t="shared" ca="1" si="176"/>
        <v>-11.143183069974084</v>
      </c>
      <c r="F95" s="25">
        <f t="shared" ca="1" si="176"/>
        <v>-4.5334783403179939</v>
      </c>
      <c r="G95" s="25">
        <f t="shared" ca="1" si="176"/>
        <v>-5.1018770999178713</v>
      </c>
      <c r="H95" s="25">
        <f t="shared" ca="1" si="176"/>
        <v>-14.279154229507089</v>
      </c>
      <c r="I95" s="25">
        <f t="shared" ca="1" si="176"/>
        <v>11.664844103033305</v>
      </c>
      <c r="J95" s="25">
        <f t="shared" ca="1" si="176"/>
        <v>21.561182288392608</v>
      </c>
      <c r="K95" s="25">
        <f t="shared" ca="1" si="176"/>
        <v>10.657796413524162</v>
      </c>
      <c r="L95" s="25">
        <f t="shared" ref="L95:P95" ca="1" si="177">IFERROR(L75/(L66-L16),"")</f>
        <v>2.2764028015663809</v>
      </c>
      <c r="M95" s="25">
        <f t="shared" ca="1" si="177"/>
        <v>2.0819310365282164</v>
      </c>
      <c r="N95" s="25">
        <f t="shared" ca="1" si="177"/>
        <v>2.1784651805916266</v>
      </c>
      <c r="O95" s="25">
        <f t="shared" ca="1" si="177"/>
        <v>1.8334833308050877</v>
      </c>
      <c r="P95" s="25">
        <f t="shared" ca="1" si="177"/>
        <v>1.3840960205637978</v>
      </c>
      <c r="Q95" s="25">
        <f t="shared" ref="Q95:S95" ca="1" si="178">IFERROR(Q75/(Q66-Q16),"")</f>
        <v>3.5217215820884795</v>
      </c>
      <c r="R95" s="25">
        <f t="shared" ca="1" si="178"/>
        <v>-8.9605046917116091</v>
      </c>
      <c r="S95" s="25">
        <f t="shared" ca="1" si="178"/>
        <v>-7.0126962628481513</v>
      </c>
      <c r="T95" s="25">
        <f t="shared" ref="T95:U95" ca="1" si="179">IFERROR(T75/(T66-T16),"")</f>
        <v>-25.574057761454803</v>
      </c>
      <c r="U95" s="25">
        <f t="shared" ca="1" si="179"/>
        <v>26.824000000000048</v>
      </c>
      <c r="V95" s="25">
        <f t="shared" ref="V95:Y95" ca="1" si="180">IFERROR(V75/(V66-V16),"")</f>
        <v>-70.23076923076863</v>
      </c>
      <c r="W95" s="25">
        <f t="shared" ca="1" si="180"/>
        <v>-2.192257503262288</v>
      </c>
      <c r="X95" s="25">
        <f t="shared" ca="1" si="180"/>
        <v>-2.0160928143712575</v>
      </c>
      <c r="Y95" s="25">
        <f t="shared" ca="1" si="180"/>
        <v>-2.0386329866270421</v>
      </c>
      <c r="Z95" s="25">
        <f t="shared" ref="Z95:AA95" ca="1" si="181">IFERROR(Z75/(Z66-Z16),"")</f>
        <v>-1.9391080617495713</v>
      </c>
      <c r="AA95" s="25">
        <f t="shared" ca="1" si="181"/>
        <v>-2.0107724645296901</v>
      </c>
      <c r="AB95" s="25">
        <f t="shared" ref="AB95" ca="1" si="182">IFERROR(AB75/(AB66-AB16),"")</f>
        <v>-1.889651906227801</v>
      </c>
    </row>
    <row r="96" spans="1:28" x14ac:dyDescent="0.3">
      <c r="A96" s="85" t="s">
        <v>149</v>
      </c>
      <c r="B96" s="25">
        <f ca="1">IFERROR(B75/(B66+B75),"")</f>
        <v>1.280898462989837</v>
      </c>
      <c r="C96" s="25">
        <f t="shared" ref="C96:K96" ca="1" si="183">IFERROR(C75/(C66+C75),"")</f>
        <v>1.0823330299598515</v>
      </c>
      <c r="D96" s="25">
        <f t="shared" ca="1" si="183"/>
        <v>1.0089839858276932</v>
      </c>
      <c r="E96" s="25">
        <f t="shared" ca="1" si="183"/>
        <v>0.99390128816765699</v>
      </c>
      <c r="F96" s="25">
        <f t="shared" ca="1" si="183"/>
        <v>1.1352834066496416</v>
      </c>
      <c r="G96" s="25">
        <f t="shared" ca="1" si="183"/>
        <v>1.1134155448804812</v>
      </c>
      <c r="H96" s="25">
        <f t="shared" ca="1" si="183"/>
        <v>0.97617627515781658</v>
      </c>
      <c r="I96" s="25">
        <f t="shared" ca="1" si="183"/>
        <v>0.8501767254587328</v>
      </c>
      <c r="J96" s="25">
        <f t="shared" ca="1" si="183"/>
        <v>0.87561314401368995</v>
      </c>
      <c r="K96" s="25">
        <f t="shared" ca="1" si="183"/>
        <v>0.83706634550719028</v>
      </c>
      <c r="L96" s="25">
        <f t="shared" ref="L96:P96" ca="1" si="184">IFERROR(L75/(L66+L75),"")</f>
        <v>0.64453982286572287</v>
      </c>
      <c r="M96" s="25">
        <f t="shared" ca="1" si="184"/>
        <v>0.62885711603273475</v>
      </c>
      <c r="N96" s="25">
        <f t="shared" ca="1" si="184"/>
        <v>0.63692268085218984</v>
      </c>
      <c r="O96" s="25">
        <f t="shared" ca="1" si="184"/>
        <v>0.60369171832521507</v>
      </c>
      <c r="P96" s="25">
        <f t="shared" ca="1" si="184"/>
        <v>0.54057497470733151</v>
      </c>
      <c r="Q96" s="25">
        <f t="shared" ref="Q96:S96" ca="1" si="185">IFERROR(Q75/(Q66+Q75),"")</f>
        <v>0.73356966943929247</v>
      </c>
      <c r="R96" s="25">
        <f t="shared" ca="1" si="185"/>
        <v>0.66844000930788261</v>
      </c>
      <c r="S96" s="25">
        <f t="shared" ca="1" si="185"/>
        <v>0.6166200347148576</v>
      </c>
      <c r="T96" s="25">
        <f t="shared" ref="T96:U96" ca="1" si="186">IFERROR(T75/(T66+T75),"")</f>
        <v>0.52251670855278476</v>
      </c>
      <c r="U96" s="25">
        <f t="shared" ca="1" si="186"/>
        <v>0.43247775054817489</v>
      </c>
      <c r="V96" s="25">
        <f t="shared" ref="V96:Y96" ca="1" si="187">IFERROR(V75/(V66+V75),"")</f>
        <v>0.51722184455019249</v>
      </c>
      <c r="W96" s="25">
        <f t="shared" ca="1" si="187"/>
        <v>0.71156289707750953</v>
      </c>
      <c r="X96" s="25">
        <f t="shared" ca="1" si="187"/>
        <v>0.75851872711912138</v>
      </c>
      <c r="Y96" s="25">
        <f t="shared" ca="1" si="187"/>
        <v>0.76190476190476186</v>
      </c>
      <c r="Z96" s="25">
        <f t="shared" ref="Z96:AA96" ca="1" si="188">IFERROR(Z75/(Z66+Z75),"")</f>
        <v>0.88239885521009498</v>
      </c>
      <c r="AA96" s="25">
        <f t="shared" ca="1" si="188"/>
        <v>0.92989064398541921</v>
      </c>
      <c r="AB96" s="25">
        <f t="shared" ref="AB96" ca="1" si="189">IFERROR(AB75/(AB66+AB75),"")</f>
        <v>0.98215384615384616</v>
      </c>
    </row>
    <row r="97" spans="1:28" x14ac:dyDescent="0.3">
      <c r="A97" s="85" t="s">
        <v>150</v>
      </c>
      <c r="B97" s="25">
        <f ca="1">IFERROR(IF(Inputs!$E$14 = "Quarterly", IF(YEAR(B3)=Inputs!$E$17, B75/AVERAGE('Annual Income Statement US$'!$F$13,'Annual Income Statement US$'!$G$13), B75/SUM(OFFSET('Interim Inc Statement US$'!B13,0,-3,,4))), IF(B3= DATE(Inputs!$E$17,Inputs!$E$15,Inputs!$E$16), B75/AVERAGE('Annual Income Statement US$'!$E$13,'Annual Income Statement US$'!$F$13), B75/SUM(OFFSET('Interim Inc Statement US$'!B13,0,-1,,2)))),"")</f>
        <v>0.36764914462258064</v>
      </c>
      <c r="C97" s="25">
        <f ca="1">IFERROR(IF(Inputs!$E$14 = "Quarterly", IF(YEAR(C3)=Inputs!$E$17, C75/AVERAGE('Annual Income Statement US$'!$F$13,'Annual Income Statement US$'!$G$13), C75/SUM(OFFSET('Interim Inc Statement US$'!C13,0,-3,,4))), IF(C3= DATE(Inputs!$E$17,Inputs!$E$15,Inputs!$E$16), C75/AVERAGE('Annual Income Statement US$'!$E$13,'Annual Income Statement US$'!$F$13), C75/SUM(OFFSET('Interim Inc Statement US$'!C13,0,-1,,2)))),"")</f>
        <v>0.34901504407949613</v>
      </c>
      <c r="D97" s="25">
        <f ca="1">IFERROR(IF(Inputs!$E$14 = "Quarterly", IF(YEAR(D3)=Inputs!$E$17, D75/AVERAGE('Annual Income Statement US$'!$F$13,'Annual Income Statement US$'!$G$13), D75/SUM(OFFSET('Interim Inc Statement US$'!D13,0,-3,,4))), IF(D3= DATE(Inputs!$E$17,Inputs!$E$15,Inputs!$E$16), D75/AVERAGE('Annual Income Statement US$'!$E$13,'Annual Income Statement US$'!$F$13), D75/SUM(OFFSET('Interim Inc Statement US$'!D13,0,-1,,2)))),"")</f>
        <v>0.36220894007468846</v>
      </c>
      <c r="E97" s="25">
        <f ca="1">IFERROR(IF(Inputs!$E$14 = "Quarterly", IF(YEAR(E3)=Inputs!$E$17, E75/AVERAGE('Annual Income Statement US$'!$F$13,'Annual Income Statement US$'!$G$13), E75/SUM(OFFSET('Interim Inc Statement US$'!E13,0,-3,,4))), IF(E3= DATE(Inputs!$E$17,Inputs!$E$15,Inputs!$E$16), E75/AVERAGE('Annual Income Statement US$'!$E$13,'Annual Income Statement US$'!$F$13), E75/SUM(OFFSET('Interim Inc Statement US$'!E13,0,-1,,2)))),"")</f>
        <v>0.39881719871687621</v>
      </c>
      <c r="F97" s="25">
        <f ca="1">IFERROR(IF(Inputs!$E$14 = "Quarterly", IF(YEAR(F3)=Inputs!$E$17, F75/AVERAGE('Annual Income Statement US$'!$F$13,'Annual Income Statement US$'!$G$13), F75/SUM(OFFSET('Interim Inc Statement US$'!F13,0,-3,,4))), IF(F3= DATE(Inputs!$E$17,Inputs!$E$15,Inputs!$E$16), F75/AVERAGE('Annual Income Statement US$'!$E$13,'Annual Income Statement US$'!$F$13), F75/SUM(OFFSET('Interim Inc Statement US$'!F13,0,-1,,2)))),"")</f>
        <v>0.44435672225925793</v>
      </c>
      <c r="G97" s="25">
        <f ca="1">IFERROR(IF(Inputs!$E$14 = "Quarterly", IF(YEAR(G3)=Inputs!$E$17, G75/AVERAGE('Annual Income Statement US$'!$F$13,'Annual Income Statement US$'!$G$13), G75/SUM(OFFSET('Interim Inc Statement US$'!G13,0,-3,,4))), IF(G3= DATE(Inputs!$E$17,Inputs!$E$15,Inputs!$E$16), G75/AVERAGE('Annual Income Statement US$'!$E$13,'Annual Income Statement US$'!$F$13), G75/SUM(OFFSET('Interim Inc Statement US$'!G13,0,-1,,2)))),"")</f>
        <v>0.48308282528541235</v>
      </c>
      <c r="H97" s="25">
        <f ca="1">IFERROR(IF(Inputs!$E$14 = "Quarterly", IF(YEAR(H3)=Inputs!$E$17, H75/AVERAGE('Annual Income Statement US$'!$F$13,'Annual Income Statement US$'!$G$13), H75/SUM(OFFSET('Interim Inc Statement US$'!H13,0,-3,,4))), IF(H3= DATE(Inputs!$E$17,Inputs!$E$15,Inputs!$E$16), H75/AVERAGE('Annual Income Statement US$'!$E$13,'Annual Income Statement US$'!$F$13), H75/SUM(OFFSET('Interim Inc Statement US$'!H13,0,-1,,2)))),"")</f>
        <v>0.46044352443548137</v>
      </c>
      <c r="I97" s="25">
        <f ca="1">IFERROR(IF(Inputs!$E$14 = "Quarterly", IF(YEAR(I3)=Inputs!$E$17, I75/AVERAGE('Annual Income Statement US$'!$F$13,'Annual Income Statement US$'!$G$13), I75/SUM(OFFSET('Interim Inc Statement US$'!I13,0,-3,,4))), IF(I3= DATE(Inputs!$E$17,Inputs!$E$15,Inputs!$E$16), I75/AVERAGE('Annual Income Statement US$'!$E$13,'Annual Income Statement US$'!$F$13), I75/SUM(OFFSET('Interim Inc Statement US$'!I13,0,-1,,2)))),"")</f>
        <v>0.4643300554823882</v>
      </c>
      <c r="J97" s="25">
        <f ca="1">IFERROR(IF(Inputs!$E$14 = "Quarterly", IF(YEAR(J3)=Inputs!$E$17, J75/AVERAGE('Annual Income Statement US$'!$F$13,'Annual Income Statement US$'!$G$13), J75/SUM(OFFSET('Interim Inc Statement US$'!J13,0,-3,,4))), IF(J3= DATE(Inputs!$E$17,Inputs!$E$15,Inputs!$E$16), J75/AVERAGE('Annual Income Statement US$'!$E$13,'Annual Income Statement US$'!$F$13), J75/SUM(OFFSET('Interim Inc Statement US$'!J13,0,-1,,2)))),"")</f>
        <v>0.4283104172629445</v>
      </c>
      <c r="K97" s="25">
        <f ca="1">IFERROR(IF(Inputs!$E$14 = "Quarterly", IF(YEAR(K3)=Inputs!$E$17, K75/AVERAGE('Annual Income Statement US$'!$F$13,'Annual Income Statement US$'!$G$13), K75/SUM(OFFSET('Interim Inc Statement US$'!K13,0,-3,,4))), IF(K3= DATE(Inputs!$E$17,Inputs!$E$15,Inputs!$E$16), K75/AVERAGE('Annual Income Statement US$'!$E$13,'Annual Income Statement US$'!$F$13), K75/SUM(OFFSET('Interim Inc Statement US$'!K13,0,-1,,2)))),"")</f>
        <v>0.3971567025916492</v>
      </c>
      <c r="L97" s="25">
        <f ca="1">IFERROR(IF(Inputs!$E$14 = "Quarterly", IF(YEAR(L3)=Inputs!$E$17, L75/AVERAGE('Annual Income Statement US$'!$F$13,'Annual Income Statement US$'!$G$13), L75/SUM(OFFSET('Interim Inc Statement US$'!L13,0,-3,,4))), IF(L3= DATE(Inputs!$E$17,Inputs!$E$15,Inputs!$E$16), L75/AVERAGE('Annual Income Statement US$'!$E$13,'Annual Income Statement US$'!$F$13), L75/SUM(OFFSET('Interim Inc Statement US$'!L13,0,-1,,2)))),"")</f>
        <v>0.36106160850805774</v>
      </c>
      <c r="M97" s="25">
        <f ca="1">IFERROR(IF(Inputs!$E$14 = "Quarterly", IF(YEAR(M3)=Inputs!$E$17, M75/AVERAGE('Annual Income Statement US$'!$F$13,'Annual Income Statement US$'!$G$13), M75/SUM(OFFSET('Interim Inc Statement US$'!M13,0,-3,,4))), IF(M3= DATE(Inputs!$E$17,Inputs!$E$15,Inputs!$E$16), M75/AVERAGE('Annual Income Statement US$'!$E$13,'Annual Income Statement US$'!$F$13), M75/SUM(OFFSET('Interim Inc Statement US$'!M13,0,-1,,2)))),"")</f>
        <v>0.36281170959949738</v>
      </c>
      <c r="N97" s="25">
        <f ca="1">IFERROR(IF(Inputs!$E$14 = "Quarterly", IF(YEAR(N3)=Inputs!$E$17, N75/AVERAGE('Annual Income Statement US$'!$F$13,'Annual Income Statement US$'!$G$13), N75/SUM(OFFSET('Interim Inc Statement US$'!N13,0,-3,,4))), IF(N3= DATE(Inputs!$E$17,Inputs!$E$15,Inputs!$E$16), N75/AVERAGE('Annual Income Statement US$'!$E$13,'Annual Income Statement US$'!$F$13), N75/SUM(OFFSET('Interim Inc Statement US$'!N13,0,-1,,2)))),"")</f>
        <v>0.34534132935836004</v>
      </c>
      <c r="O97" s="25">
        <f ca="1">IFERROR(IF(Inputs!$E$14 = "Quarterly", IF(YEAR(O3)=Inputs!$E$17, O75/AVERAGE('Annual Income Statement US$'!$F$13,'Annual Income Statement US$'!$G$13), O75/SUM(OFFSET('Interim Inc Statement US$'!O13,0,-3,,4))), IF(O3= DATE(Inputs!$E$17,Inputs!$E$15,Inputs!$E$16), O75/AVERAGE('Annual Income Statement US$'!$E$13,'Annual Income Statement US$'!$F$13), O75/SUM(OFFSET('Interim Inc Statement US$'!O13,0,-1,,2)))),"")</f>
        <v>0.33625874792293231</v>
      </c>
      <c r="P97" s="25">
        <f ca="1">IFERROR(IF(Inputs!$E$14 = "Quarterly", IF(YEAR(P3)=Inputs!$E$17, P75/AVERAGE('Annual Income Statement US$'!$F$13,'Annual Income Statement US$'!$G$13), P75/SUM(OFFSET('Interim Inc Statement US$'!P13,0,-3,,4))), IF(P3= DATE(Inputs!$E$17,Inputs!$E$15,Inputs!$E$16), P75/AVERAGE('Annual Income Statement US$'!$E$13,'Annual Income Statement US$'!$F$13), P75/SUM(OFFSET('Interim Inc Statement US$'!P13,0,-1,,2)))),"")</f>
        <v>0.30214684655207502</v>
      </c>
      <c r="Q97" s="25">
        <f ca="1">IFERROR(IF(Inputs!$E$14 = "Quarterly", IF(YEAR(Q3)=Inputs!$E$17, Q75/AVERAGE('Annual Income Statement US$'!$F$13,'Annual Income Statement US$'!$G$13), Q75/SUM(OFFSET('Interim Inc Statement US$'!Q13,0,-3,,4))), IF(Q3= DATE(Inputs!$E$17,Inputs!$E$15,Inputs!$E$16), Q75/AVERAGE('Annual Income Statement US$'!$E$13,'Annual Income Statement US$'!$F$13), Q75/SUM(OFFSET('Interim Inc Statement US$'!Q13,0,-1,,2)))),"")</f>
        <v>0.47563796050467294</v>
      </c>
      <c r="R97" s="25">
        <f ca="1">IFERROR(IF(Inputs!$E$14 = "Quarterly", IF(YEAR(R3)=Inputs!$E$17, R75/AVERAGE('Annual Income Statement US$'!$F$13,'Annual Income Statement US$'!$G$13), R75/SUM(OFFSET('Interim Inc Statement US$'!R13,0,-3,,4))), IF(R3= DATE(Inputs!$E$17,Inputs!$E$15,Inputs!$E$16), R75/AVERAGE('Annual Income Statement US$'!$E$13,'Annual Income Statement US$'!$F$13), R75/SUM(OFFSET('Interim Inc Statement US$'!R13,0,-1,,2)))),"")</f>
        <v>0.35320907701768234</v>
      </c>
      <c r="S97" s="25">
        <f ca="1">IFERROR(IF(Inputs!$E$14 = "Quarterly", IF(YEAR(S3)=Inputs!$E$17, S75/AVERAGE('Annual Income Statement US$'!$F$13,'Annual Income Statement US$'!$G$13), S75/SUM(OFFSET('Interim Inc Statement US$'!S13,0,-3,,4))), IF(S3= DATE(Inputs!$E$17,Inputs!$E$15,Inputs!$E$16), S75/AVERAGE('Annual Income Statement US$'!$E$13,'Annual Income Statement US$'!$F$13), S75/SUM(OFFSET('Interim Inc Statement US$'!S13,0,-1,,2)))),"")</f>
        <v>0.28987272572057576</v>
      </c>
      <c r="T97" s="25">
        <f ca="1">IFERROR(IF(Inputs!$E$14 = "Quarterly", IF(YEAR(T3)=Inputs!$E$17, T75/AVERAGE('Annual Income Statement US$'!$F$13,'Annual Income Statement US$'!$G$13), T75/SUM(OFFSET('Interim Inc Statement US$'!T13,0,-3,,4))), IF(T3= DATE(Inputs!$E$17,Inputs!$E$15,Inputs!$E$16), T75/AVERAGE('Annual Income Statement US$'!$E$13,'Annual Income Statement US$'!$F$13), T75/SUM(OFFSET('Interim Inc Statement US$'!T13,0,-1,,2)))),"")</f>
        <v>0.23325505464606372</v>
      </c>
      <c r="U97" s="25">
        <f ca="1">IFERROR(IF(Inputs!$E$14 = "Quarterly", IF(YEAR(U3)=Inputs!$E$17, U75/AVERAGE('Annual Income Statement US$'!$F$13,'Annual Income Statement US$'!$G$13), U75/SUM(OFFSET('Interim Inc Statement US$'!U13,0,-3,,4))), IF(U3= DATE(Inputs!$E$17,Inputs!$E$15,Inputs!$E$16), U75/AVERAGE('Annual Income Statement US$'!$E$13,'Annual Income Statement US$'!$F$13), U75/SUM(OFFSET('Interim Inc Statement US$'!U13,0,-1,,2)))),"")</f>
        <v>0.17900821206848402</v>
      </c>
      <c r="V97" s="25">
        <f ca="1">IFERROR(IF(Inputs!$E$14 = "Quarterly", IF(YEAR(V3)=Inputs!$E$17, V75/AVERAGE('Annual Income Statement US$'!$F$13,'Annual Income Statement US$'!$G$13), V75/SUM(OFFSET('Interim Inc Statement US$'!V13,0,-3,,4))), IF(V3= DATE(Inputs!$E$17,Inputs!$E$15,Inputs!$E$16), V75/AVERAGE('Annual Income Statement US$'!$E$13,'Annual Income Statement US$'!$F$13), V75/SUM(OFFSET('Interim Inc Statement US$'!V13,0,-1,,2)))),"")</f>
        <v>0.2335559872806571</v>
      </c>
      <c r="W97" s="25">
        <f ca="1">IFERROR(IF(Inputs!$E$14 = "Quarterly", IF(YEAR(W3)=Inputs!$E$17, W75/AVERAGE('Annual Income Statement US$'!$F$13,'Annual Income Statement US$'!$G$13), W75/SUM(OFFSET('Interim Inc Statement US$'!W13,0,-3,,4))), IF(W3= DATE(Inputs!$E$17,Inputs!$E$15,Inputs!$E$16), W75/AVERAGE('Annual Income Statement US$'!$E$13,'Annual Income Statement US$'!$F$13), W75/SUM(OFFSET('Interim Inc Statement US$'!W13,0,-1,,2)))),"")</f>
        <v>0.34796907350878964</v>
      </c>
      <c r="X97" s="25">
        <f ca="1">IFERROR(IF(Inputs!$E$14 = "Quarterly", IF(YEAR(X3)=Inputs!$E$17, X75/AVERAGE('Annual Income Statement US$'!$F$13,'Annual Income Statement US$'!$G$13), X75/SUM(OFFSET('Interim Inc Statement US$'!X13,0,-3,,4))), IF(X3= DATE(Inputs!$E$17,Inputs!$E$15,Inputs!$E$16), X75/AVERAGE('Annual Income Statement US$'!$E$13,'Annual Income Statement US$'!$F$13), X75/SUM(OFFSET('Interim Inc Statement US$'!X13,0,-1,,2)))),"")</f>
        <v>0.57556935185118174</v>
      </c>
      <c r="Y97" s="25">
        <f ca="1">IFERROR(IF(Inputs!$E$14 = "Quarterly", IF(YEAR(Y3)=Inputs!$E$17, Y75/AVERAGE('Annual Income Statement US$'!$F$13,'Annual Income Statement US$'!$G$13), Y75/SUM(OFFSET('Interim Inc Statement US$'!Y13,0,-3,,4))), IF(Y3= DATE(Inputs!$E$17,Inputs!$E$15,Inputs!$E$16), Y75/AVERAGE('Annual Income Statement US$'!$E$13,'Annual Income Statement US$'!$F$13), Y75/SUM(OFFSET('Interim Inc Statement US$'!Y13,0,-1,,2)))),"")</f>
        <v>0.94974071524347015</v>
      </c>
      <c r="Z97" s="25">
        <f ca="1">IFERROR(IF(Inputs!$E$14 = "Quarterly", IF(YEAR(Z3)=Inputs!$E$17, Z75/AVERAGE('Annual Income Statement US$'!$F$13,'Annual Income Statement US$'!$G$13), Z75/SUM(OFFSET('Interim Inc Statement US$'!Z13,0,-3,,4))), IF(Z3= DATE(Inputs!$E$17,Inputs!$E$15,Inputs!$E$16), Z75/AVERAGE('Annual Income Statement US$'!$E$13,'Annual Income Statement US$'!$F$13), Z75/SUM(OFFSET('Interim Inc Statement US$'!Z13,0,-1,,2)))),"")</f>
        <v>2.5382225052983527</v>
      </c>
      <c r="AA97" s="25">
        <f ca="1">IFERROR(IF(Inputs!$E$14 = "Quarterly", IF(YEAR(AA3)=Inputs!$E$17, AA75/AVERAGE('Annual Income Statement US$'!$F$13,'Annual Income Statement US$'!$G$13), AA75/SUM(OFFSET('Interim Inc Statement US$'!AA13,0,-3,,4))), IF(AA3= DATE(Inputs!$E$17,Inputs!$E$15,Inputs!$E$16), AA75/AVERAGE('Annual Income Statement US$'!$E$13,'Annual Income Statement US$'!$F$13), AA75/SUM(OFFSET('Interim Inc Statement US$'!AA13,0,-1,,2)))),"")</f>
        <v>2.5536268787797294</v>
      </c>
      <c r="AB97" s="25">
        <f ca="1">IFERROR(IF(Inputs!$E$14 = "Quarterly", IF(YEAR(AB3)=Inputs!$E$17, AB75/AVERAGE('Annual Income Statement US$'!$F$13,'Annual Income Statement US$'!$G$13), AB75/SUM(OFFSET('Interim Inc Statement US$'!AB13,0,-3,,4))), IF(AB3= DATE(Inputs!$E$17,Inputs!$E$15,Inputs!$E$16), AB75/AVERAGE('Annual Income Statement US$'!$E$13,'Annual Income Statement US$'!$F$13), AB75/SUM(OFFSET('Interim Inc Statement US$'!AB13,0,-1,,2)))),"")</f>
        <v>1.7813596563379381</v>
      </c>
    </row>
    <row r="98" spans="1:28" x14ac:dyDescent="0.3">
      <c r="A98" s="85" t="s">
        <v>151</v>
      </c>
      <c r="B98" s="25">
        <f ca="1">IFERROR(IF(Inputs!$E$14 = "Quarterly", IF(YEAR(B3)=Inputs!$E$17, B128/AVERAGE('Annual Income Statement US$'!$F$26,'Annual Income Statement US$'!$G$26), B128/SUM(OFFSET('Interim Inc Statement US$'!B26,0,-3,,4))), IF(B3= DATE(Inputs!$E$17,Inputs!$E$15,Inputs!$E$16), B128/AVERAGE('Annual Income Statement US$'!$E$26,'Annual Income Statement US$'!$F$26), B128/SUM(OFFSET('Interim Inc Statement US$'!B26,0,-1,,2)))),"")</f>
        <v>2.4299439115935386</v>
      </c>
      <c r="C98" s="25">
        <f ca="1">IFERROR(IF(Inputs!$E$14 = "Quarterly", IF(YEAR(C3)=Inputs!$E$17, C128/AVERAGE('Annual Income Statement US$'!$F$26,'Annual Income Statement US$'!$G$26), C128/SUM(OFFSET('Interim Inc Statement US$'!C26,0,-3,,4))), IF(C3= DATE(Inputs!$E$17,Inputs!$E$15,Inputs!$E$16), C128/AVERAGE('Annual Income Statement US$'!$E$26,'Annual Income Statement US$'!$F$26), C128/SUM(OFFSET('Interim Inc Statement US$'!C26,0,-1,,2)))),"")</f>
        <v>2.3067835022060144</v>
      </c>
      <c r="D98" s="25">
        <f ca="1">IFERROR(IF(Inputs!$E$14 = "Quarterly", IF(YEAR(D3)=Inputs!$E$17, D128/AVERAGE('Annual Income Statement US$'!$F$26,'Annual Income Statement US$'!$G$26), D128/SUM(OFFSET('Interim Inc Statement US$'!D26,0,-3,,4))), IF(D3= DATE(Inputs!$E$17,Inputs!$E$15,Inputs!$E$16), D128/AVERAGE('Annual Income Statement US$'!$E$26,'Annual Income Statement US$'!$F$26), D128/SUM(OFFSET('Interim Inc Statement US$'!D26,0,-1,,2)))),"")</f>
        <v>2.3939873695688187</v>
      </c>
      <c r="E98" s="25">
        <f ca="1">IFERROR(IF(Inputs!$E$14 = "Quarterly", IF(YEAR(E3)=Inputs!$E$17, E128/AVERAGE('Annual Income Statement US$'!$F$26,'Annual Income Statement US$'!$G$26), E128/SUM(OFFSET('Interim Inc Statement US$'!E26,0,-3,,4))), IF(E3= DATE(Inputs!$E$17,Inputs!$E$15,Inputs!$E$16), E128/AVERAGE('Annual Income Statement US$'!$E$26,'Annual Income Statement US$'!$F$26), E128/SUM(OFFSET('Interim Inc Statement US$'!E26,0,-1,,2)))),"")</f>
        <v>2.6359463581935461</v>
      </c>
      <c r="F98" s="25">
        <f ca="1">IFERROR(IF(Inputs!$E$14 = "Quarterly", IF(YEAR(F3)=Inputs!$E$17, F128/AVERAGE('Annual Income Statement US$'!$F$26,'Annual Income Statement US$'!$G$26), F128/SUM(OFFSET('Interim Inc Statement US$'!F26,0,-3,,4))), IF(F3= DATE(Inputs!$E$17,Inputs!$E$15,Inputs!$E$16), F128/AVERAGE('Annual Income Statement US$'!$E$26,'Annual Income Statement US$'!$F$26), F128/SUM(OFFSET('Interim Inc Statement US$'!F26,0,-1,,2)))),"")</f>
        <v>2.4504049515655741</v>
      </c>
      <c r="G98" s="25">
        <f ca="1">IFERROR(IF(Inputs!$E$14 = "Quarterly", IF(YEAR(G3)=Inputs!$E$17, G128/AVERAGE('Annual Income Statement US$'!$F$26,'Annual Income Statement US$'!$G$26), G128/SUM(OFFSET('Interim Inc Statement US$'!G26,0,-3,,4))), IF(G3= DATE(Inputs!$E$17,Inputs!$E$15,Inputs!$E$16), G128/AVERAGE('Annual Income Statement US$'!$E$26,'Annual Income Statement US$'!$F$26), G128/SUM(OFFSET('Interim Inc Statement US$'!G26,0,-1,,2)))),"")</f>
        <v>2.637485102440063</v>
      </c>
      <c r="H98" s="25">
        <f ca="1">IFERROR(IF(Inputs!$E$14 = "Quarterly", IF(YEAR(H3)=Inputs!$E$17, H128/AVERAGE('Annual Income Statement US$'!$F$26,'Annual Income Statement US$'!$G$26), H128/SUM(OFFSET('Interim Inc Statement US$'!H26,0,-3,,4))), IF(H3= DATE(Inputs!$E$17,Inputs!$E$15,Inputs!$E$16), H128/AVERAGE('Annual Income Statement US$'!$E$26,'Annual Income Statement US$'!$F$26), H128/SUM(OFFSET('Interim Inc Statement US$'!H26,0,-1,,2)))),"")</f>
        <v>2.4323327774068244</v>
      </c>
      <c r="I98" s="25">
        <f ca="1">IFERROR(IF(Inputs!$E$14 = "Quarterly", IF(YEAR(I3)=Inputs!$E$17, I128/AVERAGE('Annual Income Statement US$'!$F$26,'Annual Income Statement US$'!$G$26), I128/SUM(OFFSET('Interim Inc Statement US$'!I26,0,-3,,4))), IF(I3= DATE(Inputs!$E$17,Inputs!$E$15,Inputs!$E$16), I128/AVERAGE('Annual Income Statement US$'!$E$26,'Annual Income Statement US$'!$F$26), I128/SUM(OFFSET('Interim Inc Statement US$'!I26,0,-1,,2)))),"")</f>
        <v>2.4992302939490414</v>
      </c>
      <c r="J98" s="25">
        <f ca="1">IFERROR(IF(Inputs!$E$14 = "Quarterly", IF(YEAR(J3)=Inputs!$E$17, J128/AVERAGE('Annual Income Statement US$'!$F$26,'Annual Income Statement US$'!$G$26), J128/SUM(OFFSET('Interim Inc Statement US$'!J26,0,-3,,4))), IF(J3= DATE(Inputs!$E$17,Inputs!$E$15,Inputs!$E$16), J128/AVERAGE('Annual Income Statement US$'!$E$26,'Annual Income Statement US$'!$F$26), J128/SUM(OFFSET('Interim Inc Statement US$'!J26,0,-1,,2)))),"")</f>
        <v>2.4669565446267803</v>
      </c>
      <c r="K98" s="25">
        <f ca="1">IFERROR(IF(Inputs!$E$14 = "Quarterly", IF(YEAR(K3)=Inputs!$E$17, K128/AVERAGE('Annual Income Statement US$'!$F$26,'Annual Income Statement US$'!$G$26), K128/SUM(OFFSET('Interim Inc Statement US$'!K26,0,-3,,4))), IF(K3= DATE(Inputs!$E$17,Inputs!$E$15,Inputs!$E$16), K128/AVERAGE('Annual Income Statement US$'!$E$26,'Annual Income Statement US$'!$F$26), K128/SUM(OFFSET('Interim Inc Statement US$'!K26,0,-1,,2)))),"")</f>
        <v>2.301095168148751</v>
      </c>
      <c r="L98" s="25">
        <f ca="1">IFERROR(IF(Inputs!$E$14 = "Quarterly", IF(YEAR(L3)=Inputs!$E$17, L128/AVERAGE('Annual Income Statement US$'!$F$26,'Annual Income Statement US$'!$G$26), L128/SUM(OFFSET('Interim Inc Statement US$'!L26,0,-3,,4))), IF(L3= DATE(Inputs!$E$17,Inputs!$E$15,Inputs!$E$16), L128/AVERAGE('Annual Income Statement US$'!$E$26,'Annual Income Statement US$'!$F$26), L128/SUM(OFFSET('Interim Inc Statement US$'!L26,0,-1,,2)))),"")</f>
        <v>2.0093767738227339</v>
      </c>
      <c r="M98" s="25">
        <f ca="1">IFERROR(IF(Inputs!$E$14 = "Quarterly", IF(YEAR(M3)=Inputs!$E$17, M128/AVERAGE('Annual Income Statement US$'!$F$26,'Annual Income Statement US$'!$G$26), M128/SUM(OFFSET('Interim Inc Statement US$'!M26,0,-3,,4))), IF(M3= DATE(Inputs!$E$17,Inputs!$E$15,Inputs!$E$16), M128/AVERAGE('Annual Income Statement US$'!$E$26,'Annual Income Statement US$'!$F$26), M128/SUM(OFFSET('Interim Inc Statement US$'!M26,0,-1,,2)))),"")</f>
        <v>2.0307023113405558</v>
      </c>
      <c r="N98" s="25">
        <f ca="1">IFERROR(IF(Inputs!$E$14 = "Quarterly", IF(YEAR(N3)=Inputs!$E$17, N128/AVERAGE('Annual Income Statement US$'!$F$26,'Annual Income Statement US$'!$G$26), N128/SUM(OFFSET('Interim Inc Statement US$'!N26,0,-3,,4))), IF(N3= DATE(Inputs!$E$17,Inputs!$E$15,Inputs!$E$16), N128/AVERAGE('Annual Income Statement US$'!$E$26,'Annual Income Statement US$'!$F$26), N128/SUM(OFFSET('Interim Inc Statement US$'!N26,0,-1,,2)))),"")</f>
        <v>1.9590792752364619</v>
      </c>
      <c r="O98" s="25">
        <f ca="1">IFERROR(IF(Inputs!$E$14 = "Quarterly", IF(YEAR(O3)=Inputs!$E$17, O128/AVERAGE('Annual Income Statement US$'!$F$26,'Annual Income Statement US$'!$G$26), O128/SUM(OFFSET('Interim Inc Statement US$'!O26,0,-3,,4))), IF(O3= DATE(Inputs!$E$17,Inputs!$E$15,Inputs!$E$16), O128/AVERAGE('Annual Income Statement US$'!$E$26,'Annual Income Statement US$'!$F$26), O128/SUM(OFFSET('Interim Inc Statement US$'!O26,0,-1,,2)))),"")</f>
        <v>1.9732442276188848</v>
      </c>
      <c r="P98" s="25">
        <f ca="1">IFERROR(IF(Inputs!$E$14 = "Quarterly", IF(YEAR(P3)=Inputs!$E$17, P128/AVERAGE('Annual Income Statement US$'!$F$26,'Annual Income Statement US$'!$G$26), P128/SUM(OFFSET('Interim Inc Statement US$'!P26,0,-3,,4))), IF(P3= DATE(Inputs!$E$17,Inputs!$E$15,Inputs!$E$16), P128/AVERAGE('Annual Income Statement US$'!$E$26,'Annual Income Statement US$'!$F$26), P128/SUM(OFFSET('Interim Inc Statement US$'!P26,0,-1,,2)))),"")</f>
        <v>1.9435740310897325</v>
      </c>
      <c r="Q98" s="25">
        <f ca="1">IFERROR(IF(Inputs!$E$14 = "Quarterly", IF(YEAR(Q3)=Inputs!$E$17, Q128/AVERAGE('Annual Income Statement US$'!$F$26,'Annual Income Statement US$'!$G$26), Q128/SUM(OFFSET('Interim Inc Statement US$'!Q26,0,-3,,4))), IF(Q3= DATE(Inputs!$E$17,Inputs!$E$15,Inputs!$E$16), Q128/AVERAGE('Annual Income Statement US$'!$E$26,'Annual Income Statement US$'!$F$26), Q128/SUM(OFFSET('Interim Inc Statement US$'!Q26,0,-1,,2)))),"")</f>
        <v>3.1080809380897096</v>
      </c>
      <c r="R98" s="25">
        <f ca="1">IFERROR(IF(Inputs!$E$14 = "Quarterly", IF(YEAR(R3)=Inputs!$E$17, R128/AVERAGE('Annual Income Statement US$'!$F$26,'Annual Income Statement US$'!$G$26), R128/SUM(OFFSET('Interim Inc Statement US$'!R26,0,-3,,4))), IF(R3= DATE(Inputs!$E$17,Inputs!$E$15,Inputs!$E$16), R128/AVERAGE('Annual Income Statement US$'!$E$26,'Annual Income Statement US$'!$F$26), R128/SUM(OFFSET('Interim Inc Statement US$'!R26,0,-1,,2)))),"")</f>
        <v>2.1863848094374854</v>
      </c>
      <c r="S98" s="25">
        <f ca="1">IFERROR(IF(Inputs!$E$14 = "Quarterly", IF(YEAR(S3)=Inputs!$E$17, S128/AVERAGE('Annual Income Statement US$'!$F$26,'Annual Income Statement US$'!$G$26), S128/SUM(OFFSET('Interim Inc Statement US$'!S26,0,-3,,4))), IF(S3= DATE(Inputs!$E$17,Inputs!$E$15,Inputs!$E$16), S128/AVERAGE('Annual Income Statement US$'!$E$26,'Annual Income Statement US$'!$F$26), S128/SUM(OFFSET('Interim Inc Statement US$'!S26,0,-1,,2)))),"")</f>
        <v>1.6731874919235339</v>
      </c>
      <c r="T98" s="25">
        <f ca="1">IFERROR(IF(Inputs!$E$14 = "Quarterly", IF(YEAR(T3)=Inputs!$E$17, T128/AVERAGE('Annual Income Statement US$'!$F$26,'Annual Income Statement US$'!$G$26), T128/SUM(OFFSET('Interim Inc Statement US$'!T26,0,-3,,4))), IF(T3= DATE(Inputs!$E$17,Inputs!$E$15,Inputs!$E$16), T128/AVERAGE('Annual Income Statement US$'!$E$26,'Annual Income Statement US$'!$F$26), T128/SUM(OFFSET('Interim Inc Statement US$'!T26,0,-1,,2)))),"")</f>
        <v>1.2689415295469602</v>
      </c>
      <c r="U98" s="25">
        <f ca="1">IFERROR(IF(Inputs!$E$14 = "Quarterly", IF(YEAR(U3)=Inputs!$E$17, U128/AVERAGE('Annual Income Statement US$'!$F$26,'Annual Income Statement US$'!$G$26), U128/SUM(OFFSET('Interim Inc Statement US$'!U26,0,-3,,4))), IF(U3= DATE(Inputs!$E$17,Inputs!$E$15,Inputs!$E$16), U128/AVERAGE('Annual Income Statement US$'!$E$26,'Annual Income Statement US$'!$F$26), U128/SUM(OFFSET('Interim Inc Statement US$'!U26,0,-1,,2)))),"")</f>
        <v>0.94142921209699548</v>
      </c>
      <c r="V98" s="25">
        <f ca="1">IFERROR(IF(Inputs!$E$14 = "Quarterly", IF(YEAR(V3)=Inputs!$E$17, V128/AVERAGE('Annual Income Statement US$'!$F$26,'Annual Income Statement US$'!$G$26), V128/SUM(OFFSET('Interim Inc Statement US$'!V26,0,-3,,4))), IF(V3= DATE(Inputs!$E$17,Inputs!$E$15,Inputs!$E$16), V128/AVERAGE('Annual Income Statement US$'!$E$26,'Annual Income Statement US$'!$F$26), V128/SUM(OFFSET('Interim Inc Statement US$'!V26,0,-1,,2)))),"")</f>
        <v>1.3723048157419449</v>
      </c>
      <c r="W98" s="25">
        <f ca="1">IFERROR(IF(Inputs!$E$14 = "Quarterly", IF(YEAR(W3)=Inputs!$E$17, W128/AVERAGE('Annual Income Statement US$'!$F$26,'Annual Income Statement US$'!$G$26), W128/SUM(OFFSET('Interim Inc Statement US$'!W26,0,-3,,4))), IF(W3= DATE(Inputs!$E$17,Inputs!$E$15,Inputs!$E$16), W128/AVERAGE('Annual Income Statement US$'!$E$26,'Annual Income Statement US$'!$F$26), W128/SUM(OFFSET('Interim Inc Statement US$'!W26,0,-1,,2)))),"")</f>
        <v>3.2665265188948536</v>
      </c>
      <c r="X98" s="25">
        <f ca="1">IFERROR(IF(Inputs!$E$14 = "Quarterly", IF(YEAR(X3)=Inputs!$E$17, X128/AVERAGE('Annual Income Statement US$'!$F$26,'Annual Income Statement US$'!$G$26), X128/SUM(OFFSET('Interim Inc Statement US$'!X26,0,-3,,4))), IF(X3= DATE(Inputs!$E$17,Inputs!$E$15,Inputs!$E$16), X128/AVERAGE('Annual Income Statement US$'!$E$26,'Annual Income Statement US$'!$F$26), X128/SUM(OFFSET('Interim Inc Statement US$'!X26,0,-1,,2)))),"")</f>
        <v>-16.192337174592957</v>
      </c>
      <c r="Y98" s="25">
        <f ca="1">IFERROR(IF(Inputs!$E$14 = "Quarterly", IF(YEAR(Y3)=Inputs!$E$17, Y128/AVERAGE('Annual Income Statement US$'!$F$26,'Annual Income Statement US$'!$G$26), Y128/SUM(OFFSET('Interim Inc Statement US$'!Y26,0,-3,,4))), IF(Y3= DATE(Inputs!$E$17,Inputs!$E$15,Inputs!$E$16), Y128/AVERAGE('Annual Income Statement US$'!$E$26,'Annual Income Statement US$'!$F$26), Y128/SUM(OFFSET('Interim Inc Statement US$'!Y26,0,-1,,2)))),"")</f>
        <v>-3.4651291861254108</v>
      </c>
      <c r="Z98" s="25">
        <f ca="1">IFERROR(IF(Inputs!$E$14 = "Quarterly", IF(YEAR(Z3)=Inputs!$E$17, Z128/AVERAGE('Annual Income Statement US$'!$F$26,'Annual Income Statement US$'!$G$26), Z128/SUM(OFFSET('Interim Inc Statement US$'!Z26,0,-3,,4))), IF(Z3= DATE(Inputs!$E$17,Inputs!$E$15,Inputs!$E$16), Z128/AVERAGE('Annual Income Statement US$'!$E$26,'Annual Income Statement US$'!$F$26), Z128/SUM(OFFSET('Interim Inc Statement US$'!Z26,0,-1,,2)))),"")</f>
        <v>-3.1428260596373949</v>
      </c>
      <c r="AA98" s="25">
        <f ca="1">IFERROR(IF(Inputs!$E$14 = "Quarterly", IF(YEAR(AA3)=Inputs!$E$17, AA128/AVERAGE('Annual Income Statement US$'!$F$26,'Annual Income Statement US$'!$G$26), AA128/SUM(OFFSET('Interim Inc Statement US$'!AA26,0,-3,,4))), IF(AA3= DATE(Inputs!$E$17,Inputs!$E$15,Inputs!$E$16), AA128/AVERAGE('Annual Income Statement US$'!$E$26,'Annual Income Statement US$'!$F$26), AA128/SUM(OFFSET('Interim Inc Statement US$'!AA26,0,-1,,2)))),"")</f>
        <v>-3.5036673491282411</v>
      </c>
      <c r="AB98" s="25">
        <f ca="1">IFERROR(IF(Inputs!$E$14 = "Quarterly", IF(YEAR(AB3)=Inputs!$E$17, AB128/AVERAGE('Annual Income Statement US$'!$F$26,'Annual Income Statement US$'!$G$26), AB128/SUM(OFFSET('Interim Inc Statement US$'!AB26,0,-3,,4))), IF(AB3= DATE(Inputs!$E$17,Inputs!$E$15,Inputs!$E$16), AB128/AVERAGE('Annual Income Statement US$'!$E$26,'Annual Income Statement US$'!$F$26), AB128/SUM(OFFSET('Interim Inc Statement US$'!AB26,0,-1,,2)))),"")</f>
        <v>-4.2753721686525337</v>
      </c>
    </row>
    <row r="99" spans="1:28" x14ac:dyDescent="0.3">
      <c r="A99" s="85" t="s">
        <v>152</v>
      </c>
      <c r="B99" s="2">
        <f>IFERROR(B66/B34,"")</f>
        <v>-0.1047405232708747</v>
      </c>
      <c r="C99" s="2">
        <f t="shared" ref="C99:K99" si="190">IFERROR(C66/C34,"")</f>
        <v>-3.1356069177307259E-2</v>
      </c>
      <c r="D99" s="2">
        <f t="shared" si="190"/>
        <v>-3.998431987455902E-3</v>
      </c>
      <c r="E99" s="2">
        <f t="shared" si="190"/>
        <v>3.0471547192808734E-3</v>
      </c>
      <c r="F99" s="2">
        <f t="shared" si="190"/>
        <v>-5.4210175516551877E-2</v>
      </c>
      <c r="G99" s="2">
        <f t="shared" si="190"/>
        <v>-4.6289290872824802E-2</v>
      </c>
      <c r="H99" s="2">
        <f t="shared" si="190"/>
        <v>1.0841750841750849E-2</v>
      </c>
      <c r="I99" s="2">
        <f t="shared" si="190"/>
        <v>8.0653698557628689E-2</v>
      </c>
      <c r="J99" s="2">
        <f t="shared" si="190"/>
        <v>5.8308119011598596E-2</v>
      </c>
      <c r="K99" s="2">
        <f t="shared" si="190"/>
        <v>7.1857365830231723E-2</v>
      </c>
      <c r="L99" s="2">
        <f t="shared" ref="L99:P99" si="191">IFERROR(L66/L34,"")</f>
        <v>0.17605189139544228</v>
      </c>
      <c r="M99" s="2">
        <f t="shared" si="191"/>
        <v>0.19092552830828344</v>
      </c>
      <c r="N99" s="2">
        <f t="shared" si="191"/>
        <v>0.17432788613600422</v>
      </c>
      <c r="O99" s="2">
        <f t="shared" si="191"/>
        <v>0.1940209564483289</v>
      </c>
      <c r="P99" s="2">
        <f t="shared" si="191"/>
        <v>0.23006522728421902</v>
      </c>
      <c r="Q99" s="2">
        <f t="shared" ref="Q99:S99" si="192">IFERROR(Q66/Q34,"")</f>
        <v>0.14975094822464927</v>
      </c>
      <c r="R99" s="2">
        <f t="shared" si="192"/>
        <v>0.12078146230399178</v>
      </c>
      <c r="S99" s="2">
        <f t="shared" si="192"/>
        <v>0.12169197396963123</v>
      </c>
      <c r="T99" s="2">
        <f t="shared" ref="T99:U99" si="193">IFERROR(T66/T34,"")</f>
        <v>0.14703422191511803</v>
      </c>
      <c r="U99" s="2">
        <f t="shared" si="193"/>
        <v>0.15850715083396377</v>
      </c>
      <c r="V99" s="2">
        <f t="shared" ref="V99:Y99" si="194">IFERROR(V66/V34,"")</f>
        <v>0.15037408243929981</v>
      </c>
      <c r="W99" s="2">
        <f t="shared" si="194"/>
        <v>6.947797993538514E-2</v>
      </c>
      <c r="X99" s="2">
        <f t="shared" si="194"/>
        <v>6.0051122238173597E-2</v>
      </c>
      <c r="Y99" s="2">
        <f t="shared" si="194"/>
        <v>5.9315878670494232E-2</v>
      </c>
      <c r="Z99" s="2">
        <f t="shared" ref="Z99:AA99" si="195">IFERROR(Z66/Z34,"")</f>
        <v>3.2915817069618401E-2</v>
      </c>
      <c r="AA99" s="2">
        <f t="shared" si="195"/>
        <v>2.1770298822819206E-2</v>
      </c>
      <c r="AB99" s="2">
        <f t="shared" ref="AB99" si="196">IFERROR(AB66/AB34,"")</f>
        <v>4.7854785478548094E-3</v>
      </c>
    </row>
    <row r="100" spans="1:28" s="29" customFormat="1" x14ac:dyDescent="0.3">
      <c r="A100" s="28" t="s">
        <v>256</v>
      </c>
      <c r="B100" s="256">
        <f ca="1">IFERROR(B66/(B34+B73),"")</f>
        <v>-8.5692367468901312E-2</v>
      </c>
      <c r="C100" s="256">
        <f t="shared" ref="C100:K100" ca="1" si="197">IFERROR(C66/(C34+C73),"")</f>
        <v>-2.6084791218055802E-2</v>
      </c>
      <c r="D100" s="256">
        <f t="shared" ca="1" si="197"/>
        <v>-3.2986719156934824E-3</v>
      </c>
      <c r="E100" s="256">
        <f t="shared" ca="1" si="197"/>
        <v>2.5119692042002806E-3</v>
      </c>
      <c r="F100" s="256">
        <f t="shared" ca="1" si="197"/>
        <v>-4.5339498585265273E-2</v>
      </c>
      <c r="G100" s="256">
        <f t="shared" ca="1" si="197"/>
        <v>-3.8803199000158863E-2</v>
      </c>
      <c r="H100" s="256">
        <f t="shared" ca="1" si="197"/>
        <v>8.9924193744769874E-3</v>
      </c>
      <c r="I100" s="256">
        <f t="shared" ca="1" si="197"/>
        <v>6.627790676975133E-2</v>
      </c>
      <c r="J100" s="256">
        <f t="shared" ca="1" si="197"/>
        <v>4.8138279239198459E-2</v>
      </c>
      <c r="K100" s="256">
        <f t="shared" ca="1" si="197"/>
        <v>5.9562466568683844E-2</v>
      </c>
      <c r="L100" s="256">
        <f t="shared" ref="L100:P100" ca="1" si="198">IFERROR(L66/(L34+L73),"")</f>
        <v>0.14753525180832941</v>
      </c>
      <c r="M100" s="256">
        <f t="shared" ca="1" si="198"/>
        <v>0.16007913205272487</v>
      </c>
      <c r="N100" s="256">
        <f t="shared" ca="1" si="198"/>
        <v>0.14678042154658527</v>
      </c>
      <c r="O100" s="256">
        <f t="shared" ca="1" si="198"/>
        <v>0.16450189075281713</v>
      </c>
      <c r="P100" s="256">
        <f t="shared" ca="1" si="198"/>
        <v>0.1946550428371642</v>
      </c>
      <c r="Q100" s="256">
        <f t="shared" ref="Q100:S100" ca="1" si="199">IFERROR(Q66/(Q34+Q73),"")</f>
        <v>0.12755116590672122</v>
      </c>
      <c r="R100" s="256">
        <f t="shared" ca="1" si="199"/>
        <v>0.1094808867752122</v>
      </c>
      <c r="S100" s="256">
        <f t="shared" ca="1" si="199"/>
        <v>0.11393252822593825</v>
      </c>
      <c r="T100" s="256">
        <f t="shared" ref="T100:U100" ca="1" si="200">IFERROR(T66/(T34+T73),"")</f>
        <v>0.14220737363113037</v>
      </c>
      <c r="U100" s="256">
        <f t="shared" ca="1" si="200"/>
        <v>0.15850715083396377</v>
      </c>
      <c r="V100" s="256">
        <f t="shared" ref="V100:Y100" ca="1" si="201">IFERROR(V66/(V34+V73),"")</f>
        <v>0.15037408243929981</v>
      </c>
      <c r="W100" s="256">
        <f t="shared" ca="1" si="201"/>
        <v>6.947797993538514E-2</v>
      </c>
      <c r="X100" s="256">
        <f t="shared" ca="1" si="201"/>
        <v>6.0051122238173597E-2</v>
      </c>
      <c r="Y100" s="256">
        <f t="shared" ca="1" si="201"/>
        <v>5.9315878670494232E-2</v>
      </c>
      <c r="Z100" s="256">
        <f t="shared" ref="Z100:AA100" ca="1" si="202">IFERROR(Z66/(Z34+Z73),"")</f>
        <v>3.2915817069618401E-2</v>
      </c>
      <c r="AA100" s="256">
        <f t="shared" ca="1" si="202"/>
        <v>2.1770298822819206E-2</v>
      </c>
      <c r="AB100" s="256">
        <f t="shared" ref="AB100" ca="1" si="203">IFERROR(AB66/(AB34+AB73),"")</f>
        <v>4.7854785478548094E-3</v>
      </c>
    </row>
    <row r="101" spans="1:28" x14ac:dyDescent="0.3">
      <c r="A101" s="8" t="s">
        <v>153</v>
      </c>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row>
    <row r="102" spans="1:28" x14ac:dyDescent="0.3">
      <c r="A102" s="85" t="s">
        <v>154</v>
      </c>
      <c r="B102" s="5">
        <f>B21</f>
        <v>0</v>
      </c>
      <c r="C102" s="5">
        <f t="shared" ref="C102:K102" si="204">C21</f>
        <v>503.19037234472177</v>
      </c>
      <c r="D102" s="5">
        <f t="shared" si="204"/>
        <v>405.31462267671861</v>
      </c>
      <c r="E102" s="5">
        <f t="shared" si="204"/>
        <v>614.54964999999993</v>
      </c>
      <c r="F102" s="5">
        <f t="shared" si="204"/>
        <v>307.26472631822742</v>
      </c>
      <c r="G102" s="5">
        <f t="shared" si="204"/>
        <v>310.95297029702971</v>
      </c>
      <c r="H102" s="5">
        <f t="shared" si="204"/>
        <v>424.31629465986134</v>
      </c>
      <c r="I102" s="5">
        <f t="shared" si="204"/>
        <v>858.84543761638736</v>
      </c>
      <c r="J102" s="5">
        <f t="shared" si="204"/>
        <v>756.11953746808842</v>
      </c>
      <c r="K102" s="5">
        <f t="shared" si="204"/>
        <v>803.27622482717163</v>
      </c>
      <c r="L102" s="5">
        <f t="shared" ref="L102:P102" si="205">L21</f>
        <v>927.17835797420571</v>
      </c>
      <c r="M102" s="5">
        <f t="shared" si="205"/>
        <v>1259.2474743457165</v>
      </c>
      <c r="N102" s="5">
        <f t="shared" si="205"/>
        <v>1217.8294573643411</v>
      </c>
      <c r="O102" s="5">
        <f t="shared" si="205"/>
        <v>1814.4439791373206</v>
      </c>
      <c r="P102" s="5">
        <f t="shared" si="205"/>
        <v>1737.6820576386738</v>
      </c>
      <c r="Q102" s="5">
        <f t="shared" ref="Q102:S102" si="206">Q21</f>
        <v>1446.4115184015279</v>
      </c>
      <c r="R102" s="5">
        <f t="shared" si="206"/>
        <v>1284.7404299947561</v>
      </c>
      <c r="S102" s="5">
        <f t="shared" si="206"/>
        <v>1228.7132493318061</v>
      </c>
      <c r="T102" s="5">
        <f t="shared" ref="T102:U102" si="207">T21</f>
        <v>1329.9800616276964</v>
      </c>
      <c r="U102" s="5">
        <f t="shared" si="207"/>
        <v>1588.9145496535798</v>
      </c>
      <c r="V102" s="5">
        <f t="shared" ref="V102:Y102" si="208">V21</f>
        <v>2204.3389442209427</v>
      </c>
      <c r="W102" s="5">
        <f t="shared" si="208"/>
        <v>1552.7401296405421</v>
      </c>
      <c r="X102" s="5">
        <f t="shared" si="208"/>
        <v>1907.5144508670519</v>
      </c>
      <c r="Y102" s="5">
        <f t="shared" si="208"/>
        <v>2131.972074168606</v>
      </c>
      <c r="Z102" s="5">
        <f t="shared" ref="Z102:AA102" si="209">Z21</f>
        <v>2283.5084368035659</v>
      </c>
      <c r="AA102" s="5">
        <f t="shared" si="209"/>
        <v>2456.4375605033883</v>
      </c>
      <c r="AB102" s="5">
        <f t="shared" ref="AB102" si="210">AB21</f>
        <v>2527.5938189845474</v>
      </c>
    </row>
    <row r="103" spans="1:28" x14ac:dyDescent="0.3">
      <c r="A103" s="85" t="s">
        <v>155</v>
      </c>
      <c r="B103" s="21">
        <f>-B54</f>
        <v>-1682.8809038129609</v>
      </c>
      <c r="C103" s="21">
        <f t="shared" ref="C103:K103" si="211">-C54</f>
        <v>-1784.1854454405945</v>
      </c>
      <c r="D103" s="21">
        <f t="shared" si="211"/>
        <v>-1636.9336418601179</v>
      </c>
      <c r="E103" s="21">
        <f t="shared" si="211"/>
        <v>-1621.2267499999998</v>
      </c>
      <c r="F103" s="21">
        <f t="shared" si="211"/>
        <v>-2043.5420365938392</v>
      </c>
      <c r="G103" s="21">
        <f t="shared" si="211"/>
        <v>-2161.97400990099</v>
      </c>
      <c r="H103" s="21">
        <f t="shared" si="211"/>
        <v>-2207.6635941189916</v>
      </c>
      <c r="I103" s="21">
        <f t="shared" si="211"/>
        <v>-1814.5251396648043</v>
      </c>
      <c r="J103" s="21">
        <f t="shared" si="211"/>
        <v>-1921.4596786304251</v>
      </c>
      <c r="K103" s="21">
        <f t="shared" si="211"/>
        <v>-2026.6005410279531</v>
      </c>
      <c r="L103" s="21">
        <f t="shared" ref="L103:P103" si="212">-L54</f>
        <v>-2040.7360805284679</v>
      </c>
      <c r="M103" s="21">
        <f t="shared" si="212"/>
        <v>-2061.8884734706867</v>
      </c>
      <c r="N103" s="21">
        <f t="shared" si="212"/>
        <v>-1996.1240310077519</v>
      </c>
      <c r="O103" s="21">
        <f t="shared" si="212"/>
        <v>-1905.0519663456048</v>
      </c>
      <c r="P103" s="21">
        <f t="shared" si="212"/>
        <v>-1895.7235822745586</v>
      </c>
      <c r="Q103" s="21">
        <f t="shared" ref="Q103:S103" si="213">-Q54</f>
        <v>-1871.0056563578933</v>
      </c>
      <c r="R103" s="21">
        <f t="shared" si="213"/>
        <v>-2094.5389167727922</v>
      </c>
      <c r="S103" s="21">
        <f t="shared" si="213"/>
        <v>-2271.0958381061478</v>
      </c>
      <c r="T103" s="21">
        <f t="shared" ref="T103:U103" si="214">-T54</f>
        <v>-2277.8079874327836</v>
      </c>
      <c r="U103" s="21">
        <f t="shared" si="214"/>
        <v>-2255.5812163202463</v>
      </c>
      <c r="V103" s="21">
        <f t="shared" ref="V103:Y103" si="215">-V54</f>
        <v>-1804.1295922013951</v>
      </c>
      <c r="W103" s="21">
        <f t="shared" si="215"/>
        <v>-2256.923983500295</v>
      </c>
      <c r="X103" s="21">
        <f t="shared" si="215"/>
        <v>-2297.8755348697546</v>
      </c>
      <c r="Y103" s="21">
        <f t="shared" si="215"/>
        <v>-2263.3435928233616</v>
      </c>
      <c r="Z103" s="21">
        <f t="shared" ref="Z103:AA103" si="216">-Z54</f>
        <v>-2091.6905444126073</v>
      </c>
      <c r="AA103" s="21">
        <f t="shared" si="216"/>
        <v>-2126.4924169086803</v>
      </c>
      <c r="AB103" s="21">
        <f t="shared" ref="AB103" si="217">-AB54</f>
        <v>-2011.1952065594451</v>
      </c>
    </row>
    <row r="104" spans="1:28" x14ac:dyDescent="0.3">
      <c r="A104" s="85" t="s">
        <v>156</v>
      </c>
      <c r="B104" s="21">
        <f>B102+B103</f>
        <v>-1682.8809038129609</v>
      </c>
      <c r="C104" s="21">
        <f t="shared" ref="C104:K104" si="218">C102+C103</f>
        <v>-1280.9950730958728</v>
      </c>
      <c r="D104" s="21">
        <f t="shared" si="218"/>
        <v>-1231.6190191833994</v>
      </c>
      <c r="E104" s="21">
        <f t="shared" si="218"/>
        <v>-1006.6770999999999</v>
      </c>
      <c r="F104" s="21">
        <f t="shared" si="218"/>
        <v>-1736.2773102756119</v>
      </c>
      <c r="G104" s="21">
        <f t="shared" si="218"/>
        <v>-1851.0210396039604</v>
      </c>
      <c r="H104" s="21">
        <f t="shared" si="218"/>
        <v>-1783.3472994591302</v>
      </c>
      <c r="I104" s="21">
        <f t="shared" si="218"/>
        <v>-955.67970204841697</v>
      </c>
      <c r="J104" s="21">
        <f t="shared" si="218"/>
        <v>-1165.3401411623367</v>
      </c>
      <c r="K104" s="21">
        <f t="shared" si="218"/>
        <v>-1223.3243162007816</v>
      </c>
      <c r="L104" s="21">
        <f t="shared" ref="L104:P104" si="219">L102+L103</f>
        <v>-1113.5577225542622</v>
      </c>
      <c r="M104" s="21">
        <f t="shared" si="219"/>
        <v>-802.64099912497022</v>
      </c>
      <c r="N104" s="21">
        <f t="shared" si="219"/>
        <v>-778.29457364341079</v>
      </c>
      <c r="O104" s="21">
        <f t="shared" si="219"/>
        <v>-90.607987208284158</v>
      </c>
      <c r="P104" s="21">
        <f t="shared" si="219"/>
        <v>-158.0415246358848</v>
      </c>
      <c r="Q104" s="21">
        <f t="shared" ref="Q104:S104" si="220">Q102+Q103</f>
        <v>-424.59413795636533</v>
      </c>
      <c r="R104" s="21">
        <f t="shared" si="220"/>
        <v>-809.79848677803602</v>
      </c>
      <c r="S104" s="21">
        <f t="shared" si="220"/>
        <v>-1042.3825887743417</v>
      </c>
      <c r="T104" s="21">
        <f t="shared" ref="T104:U104" si="221">T102+T103</f>
        <v>-947.82792580508726</v>
      </c>
      <c r="U104" s="21">
        <f t="shared" si="221"/>
        <v>-666.66666666666652</v>
      </c>
      <c r="V104" s="21">
        <f t="shared" ref="V104:Y104" si="222">V102+V103</f>
        <v>400.20935201954762</v>
      </c>
      <c r="W104" s="21">
        <f t="shared" si="222"/>
        <v>-704.18385385975284</v>
      </c>
      <c r="X104" s="21">
        <f t="shared" si="222"/>
        <v>-390.36108400270268</v>
      </c>
      <c r="Y104" s="21">
        <f t="shared" si="222"/>
        <v>-131.37151865475562</v>
      </c>
      <c r="Z104" s="21">
        <f t="shared" ref="Z104:AA104" si="223">Z102+Z103</f>
        <v>191.8178923909586</v>
      </c>
      <c r="AA104" s="21">
        <f t="shared" si="223"/>
        <v>329.94514359470804</v>
      </c>
      <c r="AB104" s="21">
        <f t="shared" ref="AB104" si="224">AB102+AB103</f>
        <v>516.39861242510233</v>
      </c>
    </row>
    <row r="105" spans="1:28" x14ac:dyDescent="0.3">
      <c r="A105" s="85" t="s">
        <v>157</v>
      </c>
      <c r="B105" s="25">
        <f>IFERROR((B72-B104)/B66,"")</f>
        <v>-4.2061005770816164</v>
      </c>
      <c r="C105" s="25">
        <f t="shared" ref="C105:K105" si="225">IFERROR((C72-C104)/C66,"")</f>
        <v>-10.788659793814434</v>
      </c>
      <c r="D105" s="25">
        <f t="shared" si="225"/>
        <v>-91.607843137254832</v>
      </c>
      <c r="E105" s="25">
        <f t="shared" si="225"/>
        <v>127.89999999999993</v>
      </c>
      <c r="F105" s="25">
        <f t="shared" si="225"/>
        <v>-7.8551912568306008</v>
      </c>
      <c r="G105" s="25">
        <f t="shared" si="225"/>
        <v>-9.2050520059435357</v>
      </c>
      <c r="H105" s="25">
        <f t="shared" si="225"/>
        <v>36.546583850931654</v>
      </c>
      <c r="I105" s="25">
        <f t="shared" si="225"/>
        <v>4.0377358490566033</v>
      </c>
      <c r="J105" s="25">
        <f t="shared" si="225"/>
        <v>5.0940540540540544</v>
      </c>
      <c r="K105" s="25">
        <f t="shared" si="225"/>
        <v>3.6248955722639922</v>
      </c>
      <c r="L105" s="25">
        <f t="shared" ref="L105:P105" si="226">IFERROR((L72-L104)/L66,"")</f>
        <v>1.1770459732637759</v>
      </c>
      <c r="M105" s="25">
        <f t="shared" si="226"/>
        <v>0.9837229949689259</v>
      </c>
      <c r="N105" s="25">
        <f t="shared" si="226"/>
        <v>0.98125188993045021</v>
      </c>
      <c r="O105" s="25">
        <f t="shared" si="226"/>
        <v>0.62887125671870991</v>
      </c>
      <c r="P105" s="25">
        <f t="shared" si="226"/>
        <v>0.43076923076923079</v>
      </c>
      <c r="Q105" s="25">
        <f t="shared" ref="Q105:S105" si="227">IFERROR((Q72-Q104)/Q66,"")</f>
        <v>1.7674702471772963</v>
      </c>
      <c r="R105" s="25">
        <f t="shared" si="227"/>
        <v>1.4901185770750989</v>
      </c>
      <c r="S105" s="25">
        <f t="shared" si="227"/>
        <v>1.4542483660130723</v>
      </c>
      <c r="T105" s="25">
        <f t="shared" ref="T105:U105" si="228">IFERROR((T72-T104)/T66,"")</f>
        <v>1.1738807815978232</v>
      </c>
      <c r="U105" s="25">
        <f t="shared" si="228"/>
        <v>0.95886363636363625</v>
      </c>
      <c r="V105" s="25">
        <f t="shared" ref="V105:Y105" si="229">IFERROR((V72-V104)/V66,"")</f>
        <v>0.9387467730579675</v>
      </c>
      <c r="W105" s="25">
        <f t="shared" si="229"/>
        <v>2.9348996573666177</v>
      </c>
      <c r="X105" s="25">
        <f t="shared" si="229"/>
        <v>3.4443148688046659</v>
      </c>
      <c r="Y105" s="25">
        <f t="shared" si="229"/>
        <v>3.3020408163265302</v>
      </c>
      <c r="Z105" s="25">
        <f t="shared" ref="Z105:AA105" si="230">IFERROR((Z72-Z104)/Z66,"")</f>
        <v>7.2367256637168165</v>
      </c>
      <c r="AA105" s="25">
        <f t="shared" si="230"/>
        <v>12.554592720970534</v>
      </c>
      <c r="AB105" s="25">
        <f t="shared" ref="AB105" si="231">IFERROR((AB72-AB104)/AB66,"")</f>
        <v>50.517241379310114</v>
      </c>
    </row>
    <row r="106" spans="1:28" x14ac:dyDescent="0.3">
      <c r="A106" s="85" t="s">
        <v>158</v>
      </c>
      <c r="B106" s="25">
        <f ca="1">IFERROR((B75-B104)/B66,"")</f>
        <v>-6.3283481908199759</v>
      </c>
      <c r="C106" s="25">
        <f t="shared" ref="C106:K106" ca="1" si="232">IFERROR((C75-C104)/C66,"")</f>
        <v>-17.233422607417488</v>
      </c>
      <c r="D106" s="25">
        <f t="shared" ca="1" si="232"/>
        <v>-144.6621105339616</v>
      </c>
      <c r="E106" s="25">
        <f t="shared" ca="1" si="232"/>
        <v>197.81905239837084</v>
      </c>
      <c r="F106" s="25">
        <f t="shared" ca="1" si="232"/>
        <v>-11.464293922309949</v>
      </c>
      <c r="G106" s="25">
        <f t="shared" ca="1" si="232"/>
        <v>-13.372854152145088</v>
      </c>
      <c r="H106" s="25">
        <f t="shared" ca="1" si="232"/>
        <v>55.515336981566882</v>
      </c>
      <c r="I106" s="25">
        <f t="shared" ca="1" si="232"/>
        <v>6.7270324471687859</v>
      </c>
      <c r="J106" s="25">
        <f t="shared" ca="1" si="232"/>
        <v>8.7172724876698044</v>
      </c>
      <c r="K106" s="25">
        <f t="shared" ca="1" si="232"/>
        <v>6.4975342778641956</v>
      </c>
      <c r="L106" s="25">
        <f t="shared" ref="L106:P106" ca="1" si="233">IFERROR((L75-L104)/L66,"")</f>
        <v>2.2749436075078799</v>
      </c>
      <c r="M106" s="25">
        <f t="shared" ca="1" si="233"/>
        <v>1.992989153729682</v>
      </c>
      <c r="N106" s="25">
        <f t="shared" ca="1" si="233"/>
        <v>2.0578327111930754</v>
      </c>
      <c r="O106" s="25">
        <f t="shared" ca="1" si="233"/>
        <v>1.5537463250046877</v>
      </c>
      <c r="P106" s="25">
        <f t="shared" ca="1" si="233"/>
        <v>1.2214688807781913</v>
      </c>
      <c r="Q106" s="25">
        <f t="shared" ref="Q106:S106" ca="1" si="234">IFERROR((Q75-Q104)/Q66,"")</f>
        <v>2.9297072606990189</v>
      </c>
      <c r="R106" s="25">
        <f t="shared" ca="1" si="234"/>
        <v>2.3447167746629956</v>
      </c>
      <c r="S106" s="25">
        <f t="shared" ca="1" si="234"/>
        <v>2.0139041933805029</v>
      </c>
      <c r="T106" s="25">
        <f t="shared" ref="T106:U106" ca="1" si="235">IFERROR((T75-T104)/T66,"")</f>
        <v>1.4047271809873059</v>
      </c>
      <c r="U106" s="25">
        <f t="shared" ca="1" si="235"/>
        <v>0.95886363636363625</v>
      </c>
      <c r="V106" s="25">
        <f t="shared" ref="V106:Y106" ca="1" si="236">IFERROR((V75-V104)/V66,"")</f>
        <v>0.9387467730579675</v>
      </c>
      <c r="W106" s="25">
        <f t="shared" ca="1" si="236"/>
        <v>2.9348996573666177</v>
      </c>
      <c r="X106" s="25">
        <f t="shared" ca="1" si="236"/>
        <v>3.4443148688046659</v>
      </c>
      <c r="Y106" s="25">
        <f t="shared" ca="1" si="236"/>
        <v>3.3020408163265302</v>
      </c>
      <c r="Z106" s="25">
        <f t="shared" ref="Z106:AA106" ca="1" si="237">IFERROR((Z75-Z104)/Z66,"")</f>
        <v>7.2367256637168165</v>
      </c>
      <c r="AA106" s="25">
        <f t="shared" ca="1" si="237"/>
        <v>12.554592720970534</v>
      </c>
      <c r="AB106" s="25">
        <f t="shared" ref="AB106" ca="1" si="238">IFERROR((AB75-AB104)/AB66,"")</f>
        <v>50.517241379310114</v>
      </c>
    </row>
    <row r="107" spans="1:28" x14ac:dyDescent="0.3">
      <c r="A107" s="8" t="s">
        <v>159</v>
      </c>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row>
    <row r="108" spans="1:28" x14ac:dyDescent="0.3">
      <c r="A108" s="85" t="s">
        <v>160</v>
      </c>
      <c r="B108" s="21">
        <f>B33</f>
        <v>3252.0006276478898</v>
      </c>
      <c r="C108" s="21">
        <f t="shared" ref="C108:K108" si="239">C33</f>
        <v>3467.4097407317663</v>
      </c>
      <c r="D108" s="21">
        <f t="shared" si="239"/>
        <v>3273.8672837202362</v>
      </c>
      <c r="E108" s="21">
        <f t="shared" si="239"/>
        <v>2978.8687499999996</v>
      </c>
      <c r="F108" s="21">
        <f t="shared" si="239"/>
        <v>3305.797884659924</v>
      </c>
      <c r="G108" s="21">
        <f t="shared" si="239"/>
        <v>3445.2351485148515</v>
      </c>
      <c r="H108" s="21">
        <f t="shared" si="239"/>
        <v>3598.6897234707089</v>
      </c>
      <c r="I108" s="21">
        <f t="shared" si="239"/>
        <v>3237.9888268156428</v>
      </c>
      <c r="J108" s="21">
        <f t="shared" si="239"/>
        <v>3694.9992491365074</v>
      </c>
      <c r="K108" s="21">
        <f t="shared" si="239"/>
        <v>4042.6810940787495</v>
      </c>
      <c r="L108" s="21">
        <f t="shared" ref="L108:P108" si="240">L33</f>
        <v>4314.2497640767533</v>
      </c>
      <c r="M108" s="21">
        <f t="shared" si="240"/>
        <v>4213.6663749900572</v>
      </c>
      <c r="N108" s="21">
        <f t="shared" si="240"/>
        <v>4634.1085271317825</v>
      </c>
      <c r="O108" s="21">
        <f t="shared" si="240"/>
        <v>5005.5202345147909</v>
      </c>
      <c r="P108" s="21">
        <f t="shared" si="240"/>
        <v>5108.4598698481568</v>
      </c>
      <c r="Q108" s="21">
        <f t="shared" ref="Q108:S108" si="241">Q33</f>
        <v>4628.6637772717258</v>
      </c>
      <c r="R108" s="21">
        <f t="shared" si="241"/>
        <v>5583.9388718256041</v>
      </c>
      <c r="S108" s="21">
        <f t="shared" si="241"/>
        <v>5812.9056891943492</v>
      </c>
      <c r="T108" s="21">
        <f t="shared" ref="T108:U108" si="242">T33</f>
        <v>5600.1147966890221</v>
      </c>
      <c r="U108" s="21">
        <f t="shared" si="242"/>
        <v>5785.98922247883</v>
      </c>
      <c r="V108" s="21">
        <f t="shared" ref="V108:Y108" si="243">V33</f>
        <v>5155.2631221208294</v>
      </c>
      <c r="W108" s="21">
        <f t="shared" si="243"/>
        <v>7216.411314083678</v>
      </c>
      <c r="X108" s="21">
        <f t="shared" si="243"/>
        <v>6563.3210719915915</v>
      </c>
      <c r="Y108" s="21">
        <f t="shared" si="243"/>
        <v>6509.271075745065</v>
      </c>
      <c r="Z108" s="21">
        <f t="shared" ref="Z108:AA108" si="244">Z33</f>
        <v>5669.3728112066219</v>
      </c>
      <c r="AA108" s="21">
        <f t="shared" si="244"/>
        <v>4962.8912552436277</v>
      </c>
      <c r="AB108" s="21">
        <f t="shared" ref="AB108" si="245">AB33</f>
        <v>7772.7846105329536</v>
      </c>
    </row>
    <row r="109" spans="1:28" x14ac:dyDescent="0.3">
      <c r="A109" s="85" t="s">
        <v>161</v>
      </c>
      <c r="B109" s="21">
        <f>-B43</f>
        <v>-3326.5338145300484</v>
      </c>
      <c r="C109" s="21">
        <f t="shared" ref="C109:K109" si="246">-C43</f>
        <v>-3510.2172683951217</v>
      </c>
      <c r="D109" s="21">
        <f t="shared" si="246"/>
        <v>-2877.5098902739419</v>
      </c>
      <c r="E109" s="21">
        <f t="shared" si="246"/>
        <v>-2765.1123499999994</v>
      </c>
      <c r="F109" s="21">
        <f t="shared" si="246"/>
        <v>-3503.4354975681304</v>
      </c>
      <c r="G109" s="21">
        <f t="shared" si="246"/>
        <v>-3828.8985148514857</v>
      </c>
      <c r="H109" s="21">
        <f t="shared" si="246"/>
        <v>-3323.6840100556105</v>
      </c>
      <c r="I109" s="21">
        <f t="shared" si="246"/>
        <v>-3295.3445065176911</v>
      </c>
      <c r="J109" s="21">
        <f t="shared" si="246"/>
        <v>-3950.2928367622771</v>
      </c>
      <c r="K109" s="21">
        <f t="shared" si="246"/>
        <v>-4271.1151187255782</v>
      </c>
      <c r="L109" s="21">
        <f t="shared" ref="L109:P109" si="247">-L43</f>
        <v>-3945.423089021705</v>
      </c>
      <c r="M109" s="21">
        <f t="shared" si="247"/>
        <v>-4025.1372205870657</v>
      </c>
      <c r="N109" s="21">
        <f t="shared" si="247"/>
        <v>-4431.0077519379847</v>
      </c>
      <c r="O109" s="21">
        <f t="shared" si="247"/>
        <v>-4504.5113640689833</v>
      </c>
      <c r="P109" s="21">
        <f t="shared" si="247"/>
        <v>-4044.7784319801676</v>
      </c>
      <c r="Q109" s="21">
        <f t="shared" ref="Q109:S109" si="248">-Q43</f>
        <v>-4169.5438184088744</v>
      </c>
      <c r="R109" s="21">
        <f t="shared" si="248"/>
        <v>-5993.7073938122703</v>
      </c>
      <c r="S109" s="21">
        <f t="shared" si="248"/>
        <v>-6471.9358533791528</v>
      </c>
      <c r="T109" s="21">
        <f t="shared" ref="T109:U109" si="249">-T43</f>
        <v>-5919.5818983747213</v>
      </c>
      <c r="U109" s="21">
        <f t="shared" si="249"/>
        <v>-5985.3733641262515</v>
      </c>
      <c r="V109" s="21">
        <f t="shared" ref="V109:Y109" si="250">-V43</f>
        <v>-4553.1782562507142</v>
      </c>
      <c r="W109" s="21">
        <f t="shared" si="250"/>
        <v>-6168.2380671773717</v>
      </c>
      <c r="X109" s="21">
        <f t="shared" si="250"/>
        <v>-5432.0246227760672</v>
      </c>
      <c r="Y109" s="21">
        <f t="shared" si="250"/>
        <v>-5359.2072667217171</v>
      </c>
      <c r="Z109" s="21">
        <f t="shared" ref="Z109:AA109" si="251">-Z43</f>
        <v>-5491.8815663801333</v>
      </c>
      <c r="AA109" s="21">
        <f t="shared" si="251"/>
        <v>-4554.6950629235234</v>
      </c>
      <c r="AB109" s="21">
        <f t="shared" ref="AB109" si="252">-AB43</f>
        <v>-4847.839798170924</v>
      </c>
    </row>
    <row r="110" spans="1:28" x14ac:dyDescent="0.3">
      <c r="A110" s="85" t="s">
        <v>162</v>
      </c>
      <c r="B110" s="21">
        <f>B24</f>
        <v>5833.9871332182647</v>
      </c>
      <c r="C110" s="21">
        <f t="shared" ref="C110:K110" si="253">C24</f>
        <v>6526.9364348598665</v>
      </c>
      <c r="D110" s="21">
        <f t="shared" si="253"/>
        <v>6246.9209524520411</v>
      </c>
      <c r="E110" s="21">
        <f t="shared" si="253"/>
        <v>6500.7942999999987</v>
      </c>
      <c r="F110" s="21">
        <f t="shared" si="253"/>
        <v>7118.8141743225497</v>
      </c>
      <c r="G110" s="21">
        <f t="shared" si="253"/>
        <v>7800.897277227723</v>
      </c>
      <c r="H110" s="21">
        <f t="shared" si="253"/>
        <v>7713.8721718595261</v>
      </c>
      <c r="I110" s="21">
        <f t="shared" si="253"/>
        <v>8020.1117318435754</v>
      </c>
      <c r="J110" s="21">
        <f t="shared" si="253"/>
        <v>8216.6992040846981</v>
      </c>
      <c r="K110" s="21">
        <f t="shared" si="253"/>
        <v>8474.6017433122943</v>
      </c>
      <c r="L110" s="21">
        <f t="shared" ref="L110:P110" si="254">L24</f>
        <v>9385.8131487889259</v>
      </c>
      <c r="M110" s="21">
        <f t="shared" si="254"/>
        <v>9864.7681170949018</v>
      </c>
      <c r="N110" s="21">
        <f t="shared" si="254"/>
        <v>10071.317829457364</v>
      </c>
      <c r="O110" s="21">
        <f t="shared" si="254"/>
        <v>10327.026306772757</v>
      </c>
      <c r="P110" s="21">
        <f t="shared" si="254"/>
        <v>10213.046172916022</v>
      </c>
      <c r="Q110" s="21">
        <f t="shared" ref="Q110:S110" si="255">Q24</f>
        <v>11446.411518401528</v>
      </c>
      <c r="R110" s="21">
        <f t="shared" si="255"/>
        <v>14815.341973181512</v>
      </c>
      <c r="S110" s="21">
        <f t="shared" si="255"/>
        <v>15309.660175639558</v>
      </c>
      <c r="T110" s="21">
        <f t="shared" ref="T110:U110" si="256">T24</f>
        <v>15166.757295631685</v>
      </c>
      <c r="U110" s="21">
        <f t="shared" si="256"/>
        <v>15583.525789068515</v>
      </c>
      <c r="V110" s="21">
        <f t="shared" ref="V110:Y110" si="257">V24</f>
        <v>14916.121300579889</v>
      </c>
      <c r="W110" s="21">
        <f t="shared" si="257"/>
        <v>14443.134944018857</v>
      </c>
      <c r="X110" s="21">
        <f t="shared" si="257"/>
        <v>14875.760078072217</v>
      </c>
      <c r="Y110" s="21">
        <f t="shared" si="257"/>
        <v>15195.555889197507</v>
      </c>
      <c r="Z110" s="21">
        <f t="shared" ref="Z110:AA110" si="258">Z24</f>
        <v>16189.907672715697</v>
      </c>
      <c r="AA110" s="21">
        <f t="shared" si="258"/>
        <v>16418.199419167475</v>
      </c>
      <c r="AB110" s="21">
        <f t="shared" ref="AB110" si="259">AB24</f>
        <v>16115.578681803849</v>
      </c>
    </row>
    <row r="111" spans="1:28" x14ac:dyDescent="0.3">
      <c r="A111" s="85" t="s">
        <v>163</v>
      </c>
      <c r="B111" s="21">
        <f>-B57</f>
        <v>-2590.6166640514671</v>
      </c>
      <c r="C111" s="21">
        <f t="shared" ref="C111:K111" si="260">-C57</f>
        <v>-2683.9512155722477</v>
      </c>
      <c r="D111" s="21">
        <f t="shared" si="260"/>
        <v>-2519.2207210569527</v>
      </c>
      <c r="E111" s="21">
        <f t="shared" si="260"/>
        <v>-2446.6441999999997</v>
      </c>
      <c r="F111" s="21">
        <f t="shared" si="260"/>
        <v>-2861.1132556164594</v>
      </c>
      <c r="G111" s="21">
        <f t="shared" si="260"/>
        <v>-2986.5408415841584</v>
      </c>
      <c r="H111" s="21">
        <f t="shared" si="260"/>
        <v>-3028.8717909651864</v>
      </c>
      <c r="I111" s="21">
        <f t="shared" si="260"/>
        <v>-2651.7690875232774</v>
      </c>
      <c r="J111" s="21">
        <f t="shared" si="260"/>
        <v>-2792.4613305301095</v>
      </c>
      <c r="K111" s="21">
        <f t="shared" si="260"/>
        <v>-2917.7938082356477</v>
      </c>
      <c r="L111" s="21">
        <f t="shared" ref="L111:P111" si="261">-L57</f>
        <v>-2970.2736709657124</v>
      </c>
      <c r="M111" s="21">
        <f t="shared" si="261"/>
        <v>-3031.5806220666618</v>
      </c>
      <c r="N111" s="21">
        <f t="shared" si="261"/>
        <v>-2968.9922480620153</v>
      </c>
      <c r="O111" s="21">
        <f t="shared" si="261"/>
        <v>-2853.009479575132</v>
      </c>
      <c r="P111" s="21">
        <f t="shared" si="261"/>
        <v>-2912.9222187790519</v>
      </c>
      <c r="Q111" s="21">
        <f t="shared" ref="Q111:S111" si="262">-Q57</f>
        <v>-2980.2394769705429</v>
      </c>
      <c r="R111" s="21">
        <f t="shared" si="262"/>
        <v>-5638.6246160761111</v>
      </c>
      <c r="S111" s="21">
        <f t="shared" si="262"/>
        <v>-5816.7239404352813</v>
      </c>
      <c r="T111" s="21">
        <f t="shared" ref="T111:U111" si="263">-T57</f>
        <v>-5664.3103135762194</v>
      </c>
      <c r="U111" s="21">
        <f t="shared" si="263"/>
        <v>-5819.8614318706695</v>
      </c>
      <c r="V111" s="21">
        <f t="shared" ref="V111:Y111" si="264">-V57</f>
        <v>-5664.5560851333157</v>
      </c>
      <c r="W111" s="21">
        <f t="shared" si="264"/>
        <v>-6290.5126694166192</v>
      </c>
      <c r="X111" s="21">
        <f t="shared" si="264"/>
        <v>-6341.1155318669762</v>
      </c>
      <c r="Y111" s="21">
        <f t="shared" si="264"/>
        <v>-6649.6509271075747</v>
      </c>
      <c r="Z111" s="21">
        <f t="shared" ref="Z111:AA111" si="265">-Z57</f>
        <v>-6795.6064947468958</v>
      </c>
      <c r="AA111" s="21">
        <f t="shared" si="265"/>
        <v>-6894.9661181026131</v>
      </c>
      <c r="AB111" s="21">
        <f t="shared" ref="AB111" si="266">-AB57</f>
        <v>-6574.4244717754646</v>
      </c>
    </row>
    <row r="112" spans="1:28" x14ac:dyDescent="0.3">
      <c r="A112" s="85" t="s">
        <v>164</v>
      </c>
      <c r="B112" s="21">
        <f>SUM(B108:B111)</f>
        <v>3168.8372822846391</v>
      </c>
      <c r="C112" s="21">
        <f t="shared" ref="C112:K112" si="267">SUM(C108:C111)</f>
        <v>3800.1776916242634</v>
      </c>
      <c r="D112" s="21">
        <f t="shared" si="267"/>
        <v>4124.0576248413836</v>
      </c>
      <c r="E112" s="21">
        <f t="shared" si="267"/>
        <v>4267.9064999999991</v>
      </c>
      <c r="F112" s="21">
        <f t="shared" si="267"/>
        <v>4060.0633057978839</v>
      </c>
      <c r="G112" s="21">
        <f t="shared" si="267"/>
        <v>4430.6930693069307</v>
      </c>
      <c r="H112" s="21">
        <f t="shared" si="267"/>
        <v>4960.0060943094377</v>
      </c>
      <c r="I112" s="21">
        <f t="shared" si="267"/>
        <v>5310.9869646182497</v>
      </c>
      <c r="J112" s="21">
        <f t="shared" si="267"/>
        <v>5168.9442859288192</v>
      </c>
      <c r="K112" s="21">
        <f t="shared" si="267"/>
        <v>5328.3739104298174</v>
      </c>
      <c r="L112" s="21">
        <f t="shared" ref="L112:P112" si="268">SUM(L108:L111)</f>
        <v>6784.3661528782613</v>
      </c>
      <c r="M112" s="21">
        <f t="shared" si="268"/>
        <v>7021.7166494312314</v>
      </c>
      <c r="N112" s="21">
        <f t="shared" si="268"/>
        <v>7305.426356589147</v>
      </c>
      <c r="O112" s="21">
        <f t="shared" si="268"/>
        <v>7975.0256976434321</v>
      </c>
      <c r="P112" s="21">
        <f t="shared" si="268"/>
        <v>8363.8053920049606</v>
      </c>
      <c r="Q112" s="21">
        <f t="shared" ref="Q112:S112" si="269">SUM(Q108:Q111)</f>
        <v>8925.2920002938372</v>
      </c>
      <c r="R112" s="21">
        <f t="shared" si="269"/>
        <v>8766.9488351187356</v>
      </c>
      <c r="S112" s="21">
        <f t="shared" si="269"/>
        <v>8833.9060710194717</v>
      </c>
      <c r="T112" s="21">
        <f t="shared" ref="T112:U112" si="270">SUM(T108:T111)</f>
        <v>9182.9798803697668</v>
      </c>
      <c r="U112" s="21">
        <f t="shared" si="270"/>
        <v>9564.2802155504232</v>
      </c>
      <c r="V112" s="21">
        <f t="shared" ref="V112:Y112" si="271">SUM(V108:V111)</f>
        <v>9853.6500813166876</v>
      </c>
      <c r="W112" s="21">
        <f t="shared" si="271"/>
        <v>9200.795521508544</v>
      </c>
      <c r="X112" s="21">
        <f t="shared" si="271"/>
        <v>9665.9409954207658</v>
      </c>
      <c r="Y112" s="21">
        <f t="shared" si="271"/>
        <v>9695.9687711132792</v>
      </c>
      <c r="Z112" s="21">
        <f t="shared" ref="Z112:AA112" si="272">SUM(Z108:Z111)</f>
        <v>9571.7924227952899</v>
      </c>
      <c r="AA112" s="21">
        <f t="shared" si="272"/>
        <v>9931.4294933849669</v>
      </c>
      <c r="AB112" s="21">
        <f t="shared" ref="AB112" si="273">SUM(AB108:AB111)</f>
        <v>12466.099022390414</v>
      </c>
    </row>
    <row r="113" spans="1:28" x14ac:dyDescent="0.3">
      <c r="A113" s="8" t="s">
        <v>165</v>
      </c>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row>
    <row r="114" spans="1:28" x14ac:dyDescent="0.3">
      <c r="A114" s="85" t="s">
        <v>166</v>
      </c>
      <c r="B114" s="204">
        <f>IFERROR((B40/'Annual Income Statement US$'!B13)*12, "")</f>
        <v>1.9899660161778483</v>
      </c>
      <c r="C114" s="204">
        <f>IFERROR((C40/'Annual Income Statement US$'!C13)*12, "")</f>
        <v>1.9767222330683871</v>
      </c>
      <c r="D114" s="204">
        <f>IFERROR((D40/'Annual Income Statement US$'!D13)*12, "")</f>
        <v>1.360092617159006</v>
      </c>
      <c r="E114" s="204">
        <f>IFERROR((E40/'Annual Income Statement US$'!E13)*12, "")</f>
        <v>1.3102815576740428</v>
      </c>
      <c r="F114" s="204">
        <f>IFERROR((F40/'Annual Income Statement US$'!F13)*12, "")</f>
        <v>1.6758982852038855</v>
      </c>
      <c r="G114" s="204">
        <f>IFERROR((G40/'Annual Income Statement US$'!G13)*12, "")</f>
        <v>2.3054784038758651</v>
      </c>
      <c r="H114" s="204">
        <f>IFERROR((H40/'Annual Income Statement US$'!H13)*12, "")</f>
        <v>1.6376257939435892</v>
      </c>
      <c r="I114" s="204">
        <f>IFERROR((I40/'Annual Income Statement US$'!M13)*12, "")</f>
        <v>5.3519906956400725</v>
      </c>
      <c r="J114" s="204" t="str">
        <f>IFERROR((J40/'Annual Income Statement US$'!N13)*12, "")</f>
        <v/>
      </c>
      <c r="K114" s="204" t="str">
        <f>IFERROR((K40/'Annual Income Statement US$'!O13)*12, "")</f>
        <v/>
      </c>
      <c r="L114" s="204" t="str">
        <f>IFERROR((L40/'Annual Income Statement US$'!P13)*12, "")</f>
        <v/>
      </c>
      <c r="M114" s="204" t="str">
        <f>IFERROR((M40/'Annual Income Statement US$'!Q13)*12, "")</f>
        <v/>
      </c>
      <c r="N114" s="204" t="str">
        <f>IFERROR((N40/'Annual Income Statement US$'!R13)*12, "")</f>
        <v/>
      </c>
      <c r="O114" s="204" t="str">
        <f>IFERROR((O40/'Annual Income Statement US$'!S13)*12, "")</f>
        <v/>
      </c>
      <c r="P114" s="204" t="str">
        <f>IFERROR((P40/'Annual Income Statement US$'!T13)*12, "")</f>
        <v/>
      </c>
      <c r="Q114" s="204" t="str">
        <f>IFERROR((Q40/'Annual Income Statement US$'!U13)*12, "")</f>
        <v/>
      </c>
      <c r="R114" s="204" t="str">
        <f>IFERROR((R40/'Annual Income Statement US$'!V13)*12, "")</f>
        <v/>
      </c>
      <c r="S114" s="204" t="str">
        <f>IFERROR((S40/'Annual Income Statement US$'!W13)*12, "")</f>
        <v/>
      </c>
      <c r="T114" s="204" t="str">
        <f>IFERROR((T40/'Annual Income Statement US$'!X13)*12, "")</f>
        <v/>
      </c>
      <c r="U114" s="204" t="str">
        <f>IFERROR((U40/'Annual Income Statement US$'!Y13)*12, "")</f>
        <v/>
      </c>
      <c r="V114" s="204" t="str">
        <f>IFERROR((V40/'Annual Income Statement US$'!Z13)*12, "")</f>
        <v/>
      </c>
      <c r="W114" s="204" t="str">
        <f>IFERROR((W40/'Annual Income Statement US$'!AA13)*12, "")</f>
        <v/>
      </c>
      <c r="X114" s="204" t="str">
        <f>IFERROR((X40/'Annual Income Statement US$'!AB13)*12, "")</f>
        <v/>
      </c>
      <c r="Y114" s="204" t="str">
        <f>IFERROR((Y40/'Annual Income Statement US$'!AC13)*12, "")</f>
        <v/>
      </c>
      <c r="Z114" s="204" t="str">
        <f>IFERROR((Z40/'Annual Income Statement US$'!AD13)*12, "")</f>
        <v/>
      </c>
      <c r="AA114" s="204" t="str">
        <f>IFERROR((AA40/'Annual Income Statement US$'!AE13)*12, "")</f>
        <v/>
      </c>
      <c r="AB114" s="204" t="str">
        <f>IFERROR((AB40/'Annual Income Statement US$'!AF13)*12, "")</f>
        <v/>
      </c>
    </row>
    <row r="115" spans="1:28" x14ac:dyDescent="0.3">
      <c r="A115" s="85" t="s">
        <v>167</v>
      </c>
      <c r="B115" s="21">
        <f>B44</f>
        <v>-74.533186882158589</v>
      </c>
      <c r="C115" s="21">
        <f t="shared" ref="C115:K115" si="274">C44</f>
        <v>-42.807527663355359</v>
      </c>
      <c r="D115" s="21">
        <f t="shared" si="274"/>
        <v>396.35739344629428</v>
      </c>
      <c r="E115" s="21">
        <f t="shared" si="274"/>
        <v>213.75640000000021</v>
      </c>
      <c r="F115" s="21">
        <f t="shared" si="274"/>
        <v>-197.63761290820639</v>
      </c>
      <c r="G115" s="21">
        <f t="shared" si="274"/>
        <v>-383.66336633663423</v>
      </c>
      <c r="H115" s="21">
        <f t="shared" si="274"/>
        <v>275.0057134150984</v>
      </c>
      <c r="I115" s="21">
        <f t="shared" si="274"/>
        <v>-57.355679702048292</v>
      </c>
      <c r="J115" s="21">
        <f t="shared" si="274"/>
        <v>-255.29358762576976</v>
      </c>
      <c r="K115" s="21">
        <f t="shared" si="274"/>
        <v>-228.43402464682868</v>
      </c>
      <c r="L115" s="21">
        <f t="shared" ref="L115:P115" si="275">L44</f>
        <v>368.82667505504833</v>
      </c>
      <c r="M115" s="21">
        <f t="shared" si="275"/>
        <v>188.52915440299148</v>
      </c>
      <c r="N115" s="21">
        <f t="shared" si="275"/>
        <v>203.10077519379774</v>
      </c>
      <c r="O115" s="21">
        <f t="shared" si="275"/>
        <v>501.00887044580759</v>
      </c>
      <c r="P115" s="21">
        <f t="shared" si="275"/>
        <v>1063.6814378679892</v>
      </c>
      <c r="Q115" s="21">
        <f t="shared" ref="Q115:S115" si="276">Q44</f>
        <v>459.11995886285149</v>
      </c>
      <c r="R115" s="21">
        <f t="shared" si="276"/>
        <v>-409.7685219866662</v>
      </c>
      <c r="S115" s="21">
        <f t="shared" si="276"/>
        <v>-659.03016418480365</v>
      </c>
      <c r="T115" s="21">
        <f t="shared" ref="T115:U115" si="277">T44</f>
        <v>-319.46710168569916</v>
      </c>
      <c r="U115" s="21">
        <f t="shared" si="277"/>
        <v>-199.38414164742153</v>
      </c>
      <c r="V115" s="21">
        <f t="shared" ref="V115:Y115" si="278">V44</f>
        <v>602.08486587011521</v>
      </c>
      <c r="W115" s="21">
        <f t="shared" si="278"/>
        <v>1048.1732469063063</v>
      </c>
      <c r="X115" s="21">
        <f t="shared" si="278"/>
        <v>1131.2964492155243</v>
      </c>
      <c r="Y115" s="21">
        <f t="shared" si="278"/>
        <v>1150.0638090233479</v>
      </c>
      <c r="Z115" s="21">
        <f t="shared" ref="Z115:AA115" si="279">Z44</f>
        <v>177.49124482648858</v>
      </c>
      <c r="AA115" s="21">
        <f t="shared" si="279"/>
        <v>408.19619232010427</v>
      </c>
      <c r="AB115" s="21">
        <f t="shared" ref="AB115" si="280">AB44</f>
        <v>2924.9448123620296</v>
      </c>
    </row>
    <row r="116" spans="1:28" x14ac:dyDescent="0.3">
      <c r="A116" s="85" t="s">
        <v>168</v>
      </c>
      <c r="B116" s="25">
        <f>IFERROR(B33/B43,"")</f>
        <v>0.97759433962264164</v>
      </c>
      <c r="C116" s="25">
        <f t="shared" ref="C116:K116" si="281">IFERROR(C33/C43,"")</f>
        <v>0.98780487804878048</v>
      </c>
      <c r="D116" s="25">
        <f t="shared" si="281"/>
        <v>1.1377431906614788</v>
      </c>
      <c r="E116" s="25">
        <f t="shared" si="281"/>
        <v>1.0773047793157484</v>
      </c>
      <c r="F116" s="25">
        <f t="shared" si="281"/>
        <v>0.94358748347289556</v>
      </c>
      <c r="G116" s="25">
        <f t="shared" si="281"/>
        <v>0.89979797979797971</v>
      </c>
      <c r="H116" s="25">
        <f t="shared" si="281"/>
        <v>1.0827412330964932</v>
      </c>
      <c r="I116" s="25">
        <f t="shared" si="281"/>
        <v>0.98259493670886078</v>
      </c>
      <c r="J116" s="25">
        <f t="shared" si="281"/>
        <v>0.93537350313628587</v>
      </c>
      <c r="K116" s="25">
        <f t="shared" si="281"/>
        <v>0.94651653764954269</v>
      </c>
      <c r="L116" s="25">
        <f t="shared" ref="L116:P116" si="282">IFERROR(L33/L43,"")</f>
        <v>1.093482160653777</v>
      </c>
      <c r="M116" s="25">
        <f t="shared" si="282"/>
        <v>1.0468379446640317</v>
      </c>
      <c r="N116" s="25">
        <f t="shared" si="282"/>
        <v>1.0458362491252622</v>
      </c>
      <c r="O116" s="25">
        <f t="shared" si="282"/>
        <v>1.1112237998647738</v>
      </c>
      <c r="P116" s="25">
        <f t="shared" si="282"/>
        <v>1.2629764412947713</v>
      </c>
      <c r="Q116" s="25">
        <f t="shared" ref="Q116:S116" si="283">IFERROR(Q33/Q43,"")</f>
        <v>1.1101127554615926</v>
      </c>
      <c r="R116" s="25">
        <f t="shared" si="283"/>
        <v>0.93163354580677404</v>
      </c>
      <c r="S116" s="25">
        <f t="shared" si="283"/>
        <v>0.89817109144542773</v>
      </c>
      <c r="T116" s="25">
        <f t="shared" ref="T116:U116" si="284">IFERROR(T33/T43,"")</f>
        <v>0.94603215105894356</v>
      </c>
      <c r="U116" s="25">
        <f t="shared" si="284"/>
        <v>0.96668810289389062</v>
      </c>
      <c r="V116" s="25">
        <f t="shared" ref="V116:Y116" si="285">IFERROR(V33/V43,"")</f>
        <v>1.1322339763534535</v>
      </c>
      <c r="W116" s="25">
        <f t="shared" si="285"/>
        <v>1.1699307379985671</v>
      </c>
      <c r="X116" s="25">
        <f t="shared" si="285"/>
        <v>1.2082642343836374</v>
      </c>
      <c r="Y116" s="25">
        <f t="shared" si="285"/>
        <v>1.2145958817761593</v>
      </c>
      <c r="Z116" s="25">
        <f t="shared" ref="Z116:AA116" si="286">IFERROR(Z33/Z43,"")</f>
        <v>1.0323188405797101</v>
      </c>
      <c r="AA116" s="25">
        <f t="shared" si="286"/>
        <v>1.0896209705986541</v>
      </c>
      <c r="AB116" s="25">
        <f t="shared" ref="AB116" si="287">IFERROR(AB33/AB43,"")</f>
        <v>1.6033501382338589</v>
      </c>
    </row>
    <row r="117" spans="1:28" x14ac:dyDescent="0.3">
      <c r="A117" s="85" t="s">
        <v>169</v>
      </c>
      <c r="B117" s="25">
        <f>IFERROR((B25+B26+B30)/B43,"")</f>
        <v>0.85518867924528308</v>
      </c>
      <c r="C117" s="25">
        <f t="shared" ref="C117:K117" si="288">IFERROR((C25+C26+C30)/C43,"")</f>
        <v>0.88426138978370916</v>
      </c>
      <c r="D117" s="25">
        <f t="shared" si="288"/>
        <v>1.0031128404669261</v>
      </c>
      <c r="E117" s="25">
        <f t="shared" si="288"/>
        <v>0.8686341081222253</v>
      </c>
      <c r="F117" s="25">
        <f t="shared" si="288"/>
        <v>0.81643895989422655</v>
      </c>
      <c r="G117" s="25">
        <f t="shared" si="288"/>
        <v>0.80060606060606054</v>
      </c>
      <c r="H117" s="25">
        <f t="shared" si="288"/>
        <v>0.96126518450607379</v>
      </c>
      <c r="I117" s="25">
        <f t="shared" si="288"/>
        <v>0.83318264014466548</v>
      </c>
      <c r="J117" s="25">
        <f t="shared" si="288"/>
        <v>0.83805360197681045</v>
      </c>
      <c r="K117" s="25">
        <f t="shared" si="288"/>
        <v>0.86646727656579881</v>
      </c>
      <c r="L117" s="25">
        <f t="shared" ref="L117:P117" si="289">IFERROR((L25+L26+L30)/L43,"")</f>
        <v>0.98146302571257704</v>
      </c>
      <c r="M117" s="25">
        <f t="shared" si="289"/>
        <v>0.91264822134387358</v>
      </c>
      <c r="N117" s="25">
        <f t="shared" si="289"/>
        <v>0.94244226731980396</v>
      </c>
      <c r="O117" s="25">
        <f t="shared" si="289"/>
        <v>0.95436105476673438</v>
      </c>
      <c r="P117" s="25">
        <f t="shared" si="289"/>
        <v>1.1266040988316415</v>
      </c>
      <c r="Q117" s="25">
        <f t="shared" ref="Q117:S117" si="290">IFERROR((Q25+Q26+Q30)/Q43,"")</f>
        <v>0.96952078928823104</v>
      </c>
      <c r="R117" s="25">
        <f t="shared" si="290"/>
        <v>0.85139357580302455</v>
      </c>
      <c r="S117" s="25">
        <f t="shared" si="290"/>
        <v>0.82253687315634216</v>
      </c>
      <c r="T117" s="25">
        <f t="shared" ref="T117:U117" si="291">IFERROR((T25+T26+T30)/T43,"")</f>
        <v>0.86297524878795606</v>
      </c>
      <c r="U117" s="25">
        <f t="shared" si="291"/>
        <v>0.8765273311897106</v>
      </c>
      <c r="V117" s="25">
        <f t="shared" ref="V117:Y117" si="292">IFERROR((V25+V26+V30)/V43,"")</f>
        <v>1.0415370255133789</v>
      </c>
      <c r="W117" s="25">
        <f t="shared" si="292"/>
        <v>1.1130881299259614</v>
      </c>
      <c r="X117" s="25">
        <f t="shared" si="292"/>
        <v>1.1460751796572692</v>
      </c>
      <c r="Y117" s="25">
        <f t="shared" si="292"/>
        <v>1.1409160946911334</v>
      </c>
      <c r="Z117" s="25">
        <f t="shared" ref="Z117:AA117" si="293">IFERROR((Z25+Z26+Z30)/Z43,"")</f>
        <v>0.96173913043478265</v>
      </c>
      <c r="AA117" s="25">
        <f t="shared" si="293"/>
        <v>1.0113354587318455</v>
      </c>
      <c r="AB117" s="25">
        <f t="shared" ref="AB117" si="294">IFERROR((AB25+AB26+AB30)/AB43,"")</f>
        <v>1.536184745487071</v>
      </c>
    </row>
    <row r="118" spans="1:28" x14ac:dyDescent="0.3">
      <c r="A118" s="85" t="s">
        <v>170</v>
      </c>
      <c r="B118" s="25">
        <f>IFERROR(B30/B38,"")</f>
        <v>0.52717391304347838</v>
      </c>
      <c r="C118" s="25">
        <f t="shared" ref="C118:K118" si="295">IFERROR(C30/C38,"")</f>
        <v>0.57765284609978906</v>
      </c>
      <c r="D118" s="25">
        <f t="shared" si="295"/>
        <v>0.51721763085399441</v>
      </c>
      <c r="E118" s="25">
        <f t="shared" si="295"/>
        <v>0.43981170141223946</v>
      </c>
      <c r="F118" s="25">
        <f t="shared" si="295"/>
        <v>0.42728297632468992</v>
      </c>
      <c r="G118" s="25">
        <f t="shared" si="295"/>
        <v>0.47800586510263932</v>
      </c>
      <c r="H118" s="25">
        <f t="shared" si="295"/>
        <v>0.43378995433789952</v>
      </c>
      <c r="I118" s="25">
        <f t="shared" si="295"/>
        <v>0.43004866180048662</v>
      </c>
      <c r="J118" s="25">
        <f t="shared" si="295"/>
        <v>0.44780376497432972</v>
      </c>
      <c r="K118" s="25">
        <f t="shared" si="295"/>
        <v>0.52</v>
      </c>
      <c r="L118" s="25">
        <f t="shared" ref="L118:P118" si="296">IFERROR(L30/L38,"")</f>
        <v>0.41570073761854581</v>
      </c>
      <c r="M118" s="25">
        <f t="shared" si="296"/>
        <v>0.41509433962264153</v>
      </c>
      <c r="N118" s="25">
        <f t="shared" si="296"/>
        <v>0.43357664233576637</v>
      </c>
      <c r="O118" s="25">
        <f t="shared" si="296"/>
        <v>0.5017994858611825</v>
      </c>
      <c r="P118" s="25">
        <f t="shared" si="296"/>
        <v>0.47290640394088673</v>
      </c>
      <c r="Q118" s="25">
        <f t="shared" ref="Q118:S118" si="297">IFERROR(Q30/Q38,"")</f>
        <v>0.41653584510727371</v>
      </c>
      <c r="R118" s="25">
        <f t="shared" si="297"/>
        <v>0.39644218551461247</v>
      </c>
      <c r="S118" s="25">
        <f t="shared" si="297"/>
        <v>0.4367720465890183</v>
      </c>
      <c r="T118" s="25">
        <f t="shared" ref="T118:U118" si="298">IFERROR(T30/T38,"")</f>
        <v>0.35914927768860355</v>
      </c>
      <c r="U118" s="25">
        <f t="shared" si="298"/>
        <v>0.37703583061889245</v>
      </c>
      <c r="V118" s="25">
        <f t="shared" ref="V118:Y118" si="299">IFERROR(V30/V38,"")</f>
        <v>0.25088495575221242</v>
      </c>
      <c r="W118" s="25">
        <f t="shared" si="299"/>
        <v>0.33366190241498278</v>
      </c>
      <c r="X118" s="25">
        <f t="shared" si="299"/>
        <v>0.23156012516763522</v>
      </c>
      <c r="Y118" s="25">
        <f t="shared" si="299"/>
        <v>0.26125760649087221</v>
      </c>
      <c r="Z118" s="25">
        <f t="shared" ref="Z118:AA118" si="300">IFERROR(Z30/Z38,"")</f>
        <v>0.29396209784045835</v>
      </c>
      <c r="AA118" s="25">
        <f t="shared" si="300"/>
        <v>0.29366968110423608</v>
      </c>
      <c r="AB118" s="25">
        <f t="shared" ref="AB118" si="301">IFERROR(AB30/AB38,"")</f>
        <v>0.3178129004698847</v>
      </c>
    </row>
    <row r="119" spans="1:28" x14ac:dyDescent="0.3">
      <c r="A119" s="85" t="s">
        <v>171</v>
      </c>
      <c r="B119" s="205">
        <f ca="1">IFERROR(IF(Inputs!$E$14 = "Quarterly", IF(YEAR(B3)=Inputs!$E$17, (B30/AVERAGE('Annual Income Statement US$'!$F$13,'Annual Income Statement US$'!$G$13))*365, (B30/SUM(OFFSET('Interim Inc Statement US$'!B13,0,-3,,4)))*365), IF(B3=DATE(Inputs!$E$17,Inputs!$E$15,Inputs!$E$16), (B30/AVERAGE('Annual Income Statement US$'!$E$13,'Annual Income Statement US$'!$F$13))*365, (B30/SUM(OFFSET('Interim Inc Statement US$'!B13,0,-1,,2)))*365)),"")</f>
        <v>18.826171170838347</v>
      </c>
      <c r="C119" s="205">
        <f ca="1">IFERROR(IF(Inputs!$E$14 = "Quarterly", IF(YEAR(C3)=Inputs!$E$17, (C30/AVERAGE('Annual Income Statement US$'!$F$13,'Annual Income Statement US$'!$G$13))*365, (C30/SUM(OFFSET('Interim Inc Statement US$'!C13,0,-3,,4)))*365), IF(C3=DATE(Inputs!$E$17,Inputs!$E$15,Inputs!$E$16), (C30/AVERAGE('Annual Income Statement US$'!$E$13,'Annual Income Statement US$'!$F$13))*365, (C30/SUM(OFFSET('Interim Inc Statement US$'!C13,0,-1,,2)))*365)),"")</f>
        <v>20.53006336875108</v>
      </c>
      <c r="D119" s="205">
        <f ca="1">IFERROR(IF(Inputs!$E$14 = "Quarterly", IF(YEAR(D3)=Inputs!$E$17, (D30/AVERAGE('Annual Income Statement US$'!$F$13,'Annual Income Statement US$'!$G$13))*365, (D30/SUM(OFFSET('Interim Inc Statement US$'!D13,0,-3,,4)))*365), IF(D3=DATE(Inputs!$E$17,Inputs!$E$15,Inputs!$E$16), (D30/AVERAGE('Annual Income Statement US$'!$E$13,'Annual Income Statement US$'!$F$13))*365, (D30/SUM(OFFSET('Interim Inc Statement US$'!D13,0,-1,,2)))*365)),"")</f>
        <v>17.334310659388724</v>
      </c>
      <c r="E119" s="205">
        <f ca="1">IFERROR(IF(Inputs!$E$14 = "Quarterly", IF(YEAR(E3)=Inputs!$E$17, (E30/AVERAGE('Annual Income Statement US$'!$F$13,'Annual Income Statement US$'!$G$13))*365, (E30/SUM(OFFSET('Interim Inc Statement US$'!E13,0,-3,,4)))*365), IF(E3=DATE(Inputs!$E$17,Inputs!$E$15,Inputs!$E$16), (E30/AVERAGE('Annual Income Statement US$'!$E$13,'Annual Income Statement US$'!$F$13))*365, (E30/SUM(OFFSET('Interim Inc Statement US$'!E13,0,-1,,2)))*365)),"")</f>
        <v>14.604253400361729</v>
      </c>
      <c r="F119" s="205">
        <f ca="1">IFERROR(IF(Inputs!$E$14 = "Quarterly", IF(YEAR(F3)=Inputs!$E$17, (F30/AVERAGE('Annual Income Statement US$'!$F$13,'Annual Income Statement US$'!$G$13))*365, (F30/SUM(OFFSET('Interim Inc Statement US$'!F13,0,-3,,4)))*365), IF(F3=DATE(Inputs!$E$17,Inputs!$E$15,Inputs!$E$16), (F30/AVERAGE('Annual Income Statement US$'!$E$13,'Annual Income Statement US$'!$F$13))*365, (F30/SUM(OFFSET('Interim Inc Statement US$'!F13,0,-1,,2)))*365)),"")</f>
        <v>20.013497179216177</v>
      </c>
      <c r="G119" s="205">
        <f ca="1">IFERROR(IF(Inputs!$E$14 = "Quarterly", IF(YEAR(G3)=Inputs!$E$17, (G30/AVERAGE('Annual Income Statement US$'!$F$13,'Annual Income Statement US$'!$G$13))*365, (G30/SUM(OFFSET('Interim Inc Statement US$'!G13,0,-3,,4)))*365), IF(G3=DATE(Inputs!$E$17,Inputs!$E$15,Inputs!$E$16), (G30/AVERAGE('Annual Income Statement US$'!$E$13,'Annual Income Statement US$'!$F$13))*365, (G30/SUM(OFFSET('Interim Inc Statement US$'!G13,0,-1,,2)))*365)),"")</f>
        <v>21.750653493477987</v>
      </c>
      <c r="H119" s="205">
        <f ca="1">IFERROR(IF(Inputs!$E$14 = "Quarterly", IF(YEAR(H3)=Inputs!$E$17, (H30/AVERAGE('Annual Income Statement US$'!$F$13,'Annual Income Statement US$'!$G$13))*365, (H30/SUM(OFFSET('Interim Inc Statement US$'!H13,0,-3,,4)))*365), IF(H3=DATE(Inputs!$E$17,Inputs!$E$15,Inputs!$E$16), (H30/AVERAGE('Annual Income Statement US$'!$E$13,'Annual Income Statement US$'!$F$13))*365, (H30/SUM(OFFSET('Interim Inc Statement US$'!H13,0,-1,,2)))*365)),"")</f>
        <v>19.361471724357635</v>
      </c>
      <c r="I119" s="205">
        <f ca="1">IFERROR(IF(Inputs!$E$14 = "Quarterly", IF(YEAR(I3)=Inputs!$E$17, (I30/AVERAGE('Annual Income Statement US$'!$F$13,'Annual Income Statement US$'!$G$13))*365, (I30/SUM(OFFSET('Interim Inc Statement US$'!I13,0,-3,,4)))*365), IF(I3=DATE(Inputs!$E$17,Inputs!$E$15,Inputs!$E$16), (I30/AVERAGE('Annual Income Statement US$'!$E$13,'Annual Income Statement US$'!$F$13))*365, (I30/SUM(OFFSET('Interim Inc Statement US$'!I13,0,-1,,2)))*365)),"")</f>
        <v>17.322295455849769</v>
      </c>
      <c r="J119" s="205">
        <f ca="1">IFERROR(IF(Inputs!$E$14 = "Quarterly", IF(YEAR(J3)=Inputs!$E$17, (J30/AVERAGE('Annual Income Statement US$'!$F$13,'Annual Income Statement US$'!$G$13))*365, (J30/SUM(OFFSET('Interim Inc Statement US$'!J13,0,-3,,4)))*365), IF(J3=DATE(Inputs!$E$17,Inputs!$E$15,Inputs!$E$16), (J30/AVERAGE('Annual Income Statement US$'!$E$13,'Annual Income Statement US$'!$F$13))*365, (J30/SUM(OFFSET('Interim Inc Statement US$'!J13,0,-1,,2)))*365)),"")</f>
        <v>18.846974556354436</v>
      </c>
      <c r="K119" s="205">
        <f ca="1">IFERROR(IF(Inputs!$E$14 = "Quarterly", IF(YEAR(K3)=Inputs!$E$17, (K30/AVERAGE('Annual Income Statement US$'!$F$13,'Annual Income Statement US$'!$G$13))*365, (K30/SUM(OFFSET('Interim Inc Statement US$'!K13,0,-3,,4)))*365), IF(K3=DATE(Inputs!$E$17,Inputs!$E$15,Inputs!$E$16), (K30/AVERAGE('Annual Income Statement US$'!$E$13,'Annual Income Statement US$'!$F$13))*365, (K30/SUM(OFFSET('Interim Inc Statement US$'!K13,0,-1,,2)))*365)),"")</f>
        <v>20.531925632601574</v>
      </c>
      <c r="L119" s="205">
        <f ca="1">IFERROR(IF(Inputs!$E$14 = "Quarterly", IF(YEAR(L3)=Inputs!$E$17, (L30/AVERAGE('Annual Income Statement US$'!$F$13,'Annual Income Statement US$'!$G$13))*365, (L30/SUM(OFFSET('Interim Inc Statement US$'!L13,0,-3,,4)))*365), IF(L3=DATE(Inputs!$E$17,Inputs!$E$15,Inputs!$E$16), (L30/AVERAGE('Annual Income Statement US$'!$E$13,'Annual Income Statement US$'!$F$13))*365, (L30/SUM(OFFSET('Interim Inc Statement US$'!L13,0,-1,,2)))*365)),"")</f>
        <v>18.697287319343609</v>
      </c>
      <c r="M119" s="205">
        <f ca="1">IFERROR(IF(Inputs!$E$14 = "Quarterly", IF(YEAR(M3)=Inputs!$E$17, (M30/AVERAGE('Annual Income Statement US$'!$F$13,'Annual Income Statement US$'!$G$13))*365, (M30/SUM(OFFSET('Interim Inc Statement US$'!M13,0,-3,,4)))*365), IF(M3=DATE(Inputs!$E$17,Inputs!$E$15,Inputs!$E$16), (M30/AVERAGE('Annual Income Statement US$'!$E$13,'Annual Income Statement US$'!$F$13))*365, (M30/SUM(OFFSET('Interim Inc Statement US$'!M13,0,-1,,2)))*365)),"")</f>
        <v>18.827798047766144</v>
      </c>
      <c r="N119" s="205">
        <f ca="1">IFERROR(IF(Inputs!$E$14 = "Quarterly", IF(YEAR(N3)=Inputs!$E$17, (N30/AVERAGE('Annual Income Statement US$'!$F$13,'Annual Income Statement US$'!$G$13))*365, (N30/SUM(OFFSET('Interim Inc Statement US$'!N13,0,-3,,4)))*365), IF(N3=DATE(Inputs!$E$17,Inputs!$E$15,Inputs!$E$16), (N30/AVERAGE('Annual Income Statement US$'!$E$13,'Annual Income Statement US$'!$F$13))*365, (N30/SUM(OFFSET('Interim Inc Statement US$'!N13,0,-1,,2)))*365)),"")</f>
        <v>19.359642609187166</v>
      </c>
      <c r="O119" s="205">
        <f ca="1">IFERROR(IF(Inputs!$E$14 = "Quarterly", IF(YEAR(O3)=Inputs!$E$17, (O30/AVERAGE('Annual Income Statement US$'!$F$13,'Annual Income Statement US$'!$G$13))*365, (O30/SUM(OFFSET('Interim Inc Statement US$'!O13,0,-3,,4)))*365), IF(O3=DATE(Inputs!$E$17,Inputs!$E$15,Inputs!$E$16), (O30/AVERAGE('Annual Income Statement US$'!$E$13,'Annual Income Statement US$'!$F$13))*365, (O30/SUM(OFFSET('Interim Inc Statement US$'!O13,0,-1,,2)))*365)),"")</f>
        <v>20.127544349504635</v>
      </c>
      <c r="P119" s="205">
        <f ca="1">IFERROR(IF(Inputs!$E$14 = "Quarterly", IF(YEAR(P3)=Inputs!$E$17, (P30/AVERAGE('Annual Income Statement US$'!$F$13,'Annual Income Statement US$'!$G$13))*365, (P30/SUM(OFFSET('Interim Inc Statement US$'!P13,0,-3,,4)))*365), IF(P3=DATE(Inputs!$E$17,Inputs!$E$15,Inputs!$E$16), (P30/AVERAGE('Annual Income Statement US$'!$E$13,'Annual Income Statement US$'!$F$13))*365, (P30/SUM(OFFSET('Interim Inc Statement US$'!P13,0,-1,,2)))*365)),"")</f>
        <v>19.775591302751284</v>
      </c>
      <c r="Q119" s="205">
        <f ca="1">IFERROR(IF(Inputs!$E$14 = "Quarterly", IF(YEAR(Q3)=Inputs!$E$17, (Q30/AVERAGE('Annual Income Statement US$'!$F$13,'Annual Income Statement US$'!$G$13))*365, (Q30/SUM(OFFSET('Interim Inc Statement US$'!Q13,0,-3,,4)))*365), IF(Q3=DATE(Inputs!$E$17,Inputs!$E$15,Inputs!$E$16), (Q30/AVERAGE('Annual Income Statement US$'!$E$13,'Annual Income Statement US$'!$F$13))*365, (Q30/SUM(OFFSET('Interim Inc Statement US$'!Q13,0,-1,,2)))*365)),"")</f>
        <v>15.316103630996372</v>
      </c>
      <c r="R119" s="205">
        <f ca="1">IFERROR(IF(Inputs!$E$14 = "Quarterly", IF(YEAR(R3)=Inputs!$E$17, (R30/AVERAGE('Annual Income Statement US$'!$F$13,'Annual Income Statement US$'!$G$13))*365, (R30/SUM(OFFSET('Interim Inc Statement US$'!R13,0,-3,,4)))*365), IF(R3=DATE(Inputs!$E$17,Inputs!$E$15,Inputs!$E$16), (R30/AVERAGE('Annual Income Statement US$'!$E$13,'Annual Income Statement US$'!$F$13))*365, (R30/SUM(OFFSET('Interim Inc Statement US$'!R13,0,-1,,2)))*365)),"")</f>
        <v>18.198532883728831</v>
      </c>
      <c r="S119" s="205">
        <f ca="1">IFERROR(IF(Inputs!$E$14 = "Quarterly", IF(YEAR(S3)=Inputs!$E$17, (S30/AVERAGE('Annual Income Statement US$'!$F$13,'Annual Income Statement US$'!$G$13))*365, (S30/SUM(OFFSET('Interim Inc Statement US$'!S13,0,-3,,4)))*365), IF(S3=DATE(Inputs!$E$17,Inputs!$E$15,Inputs!$E$16), (S30/AVERAGE('Annual Income Statement US$'!$E$13,'Annual Income Statement US$'!$F$13))*365, (S30/SUM(OFFSET('Interim Inc Statement US$'!S13,0,-1,,2)))*365)),"")</f>
        <v>20.520464561966396</v>
      </c>
      <c r="T119" s="205">
        <f ca="1">IFERROR(IF(Inputs!$E$14 = "Quarterly", IF(YEAR(T3)=Inputs!$E$17, (T30/AVERAGE('Annual Income Statement US$'!$F$13,'Annual Income Statement US$'!$G$13))*365, (T30/SUM(OFFSET('Interim Inc Statement US$'!T13,0,-3,,4)))*365), IF(T3=DATE(Inputs!$E$17,Inputs!$E$15,Inputs!$E$16), (T30/AVERAGE('Annual Income Statement US$'!$E$13,'Annual Income Statement US$'!$F$13))*365, (T30/SUM(OFFSET('Interim Inc Statement US$'!T13,0,-1,,2)))*365)),"")</f>
        <v>17.222699281082122</v>
      </c>
      <c r="U119" s="205">
        <f ca="1">IFERROR(IF(Inputs!$E$14 = "Quarterly", IF(YEAR(U3)=Inputs!$E$17, (U30/AVERAGE('Annual Income Statement US$'!$F$13,'Annual Income Statement US$'!$G$13))*365, (U30/SUM(OFFSET('Interim Inc Statement US$'!U13,0,-3,,4)))*365), IF(U3=DATE(Inputs!$E$17,Inputs!$E$15,Inputs!$E$16), (U30/AVERAGE('Annual Income Statement US$'!$E$13,'Annual Income Statement US$'!$F$13))*365, (U30/SUM(OFFSET('Interim Inc Statement US$'!U13,0,-1,,2)))*365)),"")</f>
        <v>18.044433521332213</v>
      </c>
      <c r="V119" s="205">
        <f ca="1">IFERROR(IF(Inputs!$E$14 = "Quarterly", IF(YEAR(V3)=Inputs!$E$17, (V30/AVERAGE('Annual Income Statement US$'!$F$13,'Annual Income Statement US$'!$G$13))*365, (V30/SUM(OFFSET('Interim Inc Statement US$'!V13,0,-3,,4)))*365), IF(V3=DATE(Inputs!$E$17,Inputs!$E$15,Inputs!$E$16), (V30/AVERAGE('Annual Income Statement US$'!$E$13,'Annual Income Statement US$'!$F$13))*365, (V30/SUM(OFFSET('Interim Inc Statement US$'!V13,0,-1,,2)))*365)),"")</f>
        <v>10.588297776050036</v>
      </c>
      <c r="W119" s="205">
        <f ca="1">IFERROR(IF(Inputs!$E$14 = "Quarterly", IF(YEAR(W3)=Inputs!$E$17, (W30/AVERAGE('Annual Income Statement US$'!$F$13,'Annual Income Statement US$'!$G$13))*365, (W30/SUM(OFFSET('Interim Inc Statement US$'!W13,0,-3,,4)))*365), IF(W3=DATE(Inputs!$E$17,Inputs!$E$15,Inputs!$E$16), (W30/AVERAGE('Annual Income Statement US$'!$E$13,'Annual Income Statement US$'!$F$13))*365, (W30/SUM(OFFSET('Interim Inc Statement US$'!W13,0,-1,,2)))*365)),"")</f>
        <v>17.060495616942355</v>
      </c>
      <c r="X119" s="205">
        <f ca="1">IFERROR(IF(Inputs!$E$14 = "Quarterly", IF(YEAR(X3)=Inputs!$E$17, (X30/AVERAGE('Annual Income Statement US$'!$F$13,'Annual Income Statement US$'!$G$13))*365, (X30/SUM(OFFSET('Interim Inc Statement US$'!X13,0,-3,,4)))*365), IF(X3=DATE(Inputs!$E$17,Inputs!$E$15,Inputs!$E$16), (X30/AVERAGE('Annual Income Statement US$'!$E$13,'Annual Income Statement US$'!$F$13))*365, (X30/SUM(OFFSET('Interim Inc Statement US$'!X13,0,-1,,2)))*365)),"")</f>
        <v>20.201020485335608</v>
      </c>
      <c r="Y119" s="205">
        <f ca="1">IFERROR(IF(Inputs!$E$14 = "Quarterly", IF(YEAR(Y3)=Inputs!$E$17, (Y30/AVERAGE('Annual Income Statement US$'!$F$13,'Annual Income Statement US$'!$G$13))*365, (Y30/SUM(OFFSET('Interim Inc Statement US$'!Y13,0,-3,,4)))*365), IF(Y3=DATE(Inputs!$E$17,Inputs!$E$15,Inputs!$E$16), (Y30/AVERAGE('Annual Income Statement US$'!$E$13,'Annual Income Statement US$'!$F$13))*365, (Y30/SUM(OFFSET('Interim Inc Statement US$'!Y13,0,-1,,2)))*365)),"")</f>
        <v>40.67894543096395</v>
      </c>
      <c r="Z119" s="205">
        <f ca="1">IFERROR(IF(Inputs!$E$14 = "Quarterly", IF(YEAR(Z3)=Inputs!$E$17, (Z30/AVERAGE('Annual Income Statement US$'!$F$13,'Annual Income Statement US$'!$G$13))*365, (Z30/SUM(OFFSET('Interim Inc Statement US$'!Z13,0,-3,,4)))*365), IF(Z3=DATE(Inputs!$E$17,Inputs!$E$15,Inputs!$E$16), (Z30/AVERAGE('Annual Income Statement US$'!$E$13,'Annual Income Statement US$'!$F$13))*365, (Z30/SUM(OFFSET('Interim Inc Statement US$'!Z13,0,-1,,2)))*365)),"")</f>
        <v>91.101719007431882</v>
      </c>
      <c r="AA119" s="205">
        <f ca="1">IFERROR(IF(Inputs!$E$14 = "Quarterly", IF(YEAR(AA3)=Inputs!$E$17, (AA30/AVERAGE('Annual Income Statement US$'!$F$13,'Annual Income Statement US$'!$G$13))*365, (AA30/SUM(OFFSET('Interim Inc Statement US$'!AA13,0,-3,,4)))*365), IF(AA3=DATE(Inputs!$E$17,Inputs!$E$15,Inputs!$E$16), (AA30/AVERAGE('Annual Income Statement US$'!$E$13,'Annual Income Statement US$'!$F$13))*365, (AA30/SUM(OFFSET('Interim Inc Statement US$'!AA13,0,-1,,2)))*365)),"")</f>
        <v>75.145634553193361</v>
      </c>
      <c r="AB119" s="205">
        <f ca="1">IFERROR(IF(Inputs!$E$14 = "Quarterly", IF(YEAR(AB3)=Inputs!$E$17, (AB30/AVERAGE('Annual Income Statement US$'!$F$13,'Annual Income Statement US$'!$G$13))*365, (AB30/SUM(OFFSET('Interim Inc Statement US$'!AB13,0,-3,,4)))*365), IF(AB3=DATE(Inputs!$E$17,Inputs!$E$15,Inputs!$E$16), (AB30/AVERAGE('Annual Income Statement US$'!$E$13,'Annual Income Statement US$'!$F$13))*365, (AB30/SUM(OFFSET('Interim Inc Statement US$'!AB13,0,-1,,2)))*365)),"")</f>
        <v>60.619803041996292</v>
      </c>
    </row>
    <row r="120" spans="1:28" x14ac:dyDescent="0.3">
      <c r="A120" s="85" t="s">
        <v>172</v>
      </c>
      <c r="B120" s="205">
        <f ca="1">IFERROR(IF(Inputs!$E$14 = "Quarterly", IF(YEAR(B3)=Inputs!$E$17, (B38/-AVERAGE(('Annual Income Statement US$'!$F$24+'Annual Income Statement US$'!$F$27),('Annual Income Statement US$'!$G$24+'Annual Income Statement US$'!$G$27)))*365, (B38 / -SUM(OFFSET('Interim Inc Statement US$'!B24,0,-3,,4),OFFSET('Interim Inc Statement US$'!B27,0,-3,,4)))*365), IF(B3=DATE(Inputs!$E$17,Inputs!$E$15,Inputs!$E$16), (B38/-AVERAGE(('Annual Income Statement US$'!$E$24+'Annual Income Statement US$'!$E$27),('Annual Income Statement US$'!$F$24+'Annual Income Statement US$'!$F$27)))*365, (B38 / -SUM(OFFSET('Interim Inc Statement US$'!B24,0,-1,,2),OFFSET('Interim Inc Statement US$'!B27,0,-1,,2)))*365)),"")</f>
        <v>40.899886866228833</v>
      </c>
      <c r="C120" s="205">
        <f ca="1">IFERROR(IF(Inputs!$E$14 = "Quarterly", IF(YEAR(C3)=Inputs!$E$17, (C38/-AVERAGE(('Annual Income Statement US$'!$F$24+'Annual Income Statement US$'!$F$27),('Annual Income Statement US$'!$G$24+'Annual Income Statement US$'!$G$27)))*365, (C38 / -SUM(OFFSET('Interim Inc Statement US$'!C24,0,-3,,4),OFFSET('Interim Inc Statement US$'!C27,0,-3,,4)))*365), IF(C3=DATE(Inputs!$E$17,Inputs!$E$15,Inputs!$E$16), (C38/-AVERAGE(('Annual Income Statement US$'!$E$24+'Annual Income Statement US$'!$E$27),('Annual Income Statement US$'!$F$24+'Annual Income Statement US$'!$F$27)))*365, (C38 / -SUM(OFFSET('Interim Inc Statement US$'!C24,0,-1,,2),OFFSET('Interim Inc Statement US$'!C27,0,-1,,2)))*365)),"")</f>
        <v>40.704027901583061</v>
      </c>
      <c r="D120" s="205">
        <f ca="1">IFERROR(IF(Inputs!$E$14 = "Quarterly", IF(YEAR(D3)=Inputs!$E$17, (D38/-AVERAGE(('Annual Income Statement US$'!$F$24+'Annual Income Statement US$'!$F$27),('Annual Income Statement US$'!$G$24+'Annual Income Statement US$'!$G$27)))*365, (D38 / -SUM(OFFSET('Interim Inc Statement US$'!D24,0,-3,,4),OFFSET('Interim Inc Statement US$'!D27,0,-3,,4)))*365), IF(D3=DATE(Inputs!$E$17,Inputs!$E$15,Inputs!$E$16), (D38/-AVERAGE(('Annual Income Statement US$'!$E$24+'Annual Income Statement US$'!$E$27),('Annual Income Statement US$'!$F$24+'Annual Income Statement US$'!$F$27)))*365, (D38 / -SUM(OFFSET('Interim Inc Statement US$'!D24,0,-1,,2),OFFSET('Interim Inc Statement US$'!D27,0,-1,,2)))*365)),"")</f>
        <v>38.383738319272858</v>
      </c>
      <c r="E120" s="205">
        <f ca="1">IFERROR(IF(Inputs!$E$14 = "Quarterly", IF(YEAR(E3)=Inputs!$E$17, (E38/-AVERAGE(('Annual Income Statement US$'!$F$24+'Annual Income Statement US$'!$F$27),('Annual Income Statement US$'!$G$24+'Annual Income Statement US$'!$G$27)))*365, (E38 / -SUM(OFFSET('Interim Inc Statement US$'!E24,0,-3,,4),OFFSET('Interim Inc Statement US$'!E27,0,-3,,4)))*365), IF(E3=DATE(Inputs!$E$17,Inputs!$E$15,Inputs!$E$16), (E38/-AVERAGE(('Annual Income Statement US$'!$E$24+'Annual Income Statement US$'!$E$27),('Annual Income Statement US$'!$F$24+'Annual Income Statement US$'!$F$27)))*365, (E38 / -SUM(OFFSET('Interim Inc Statement US$'!E24,0,-1,,2),OFFSET('Interim Inc Statement US$'!E27,0,-1,,2)))*365)),"")</f>
        <v>38.030023602654317</v>
      </c>
      <c r="F120" s="205">
        <f ca="1">IFERROR(IF(Inputs!$E$14 = "Quarterly", IF(YEAR(F3)=Inputs!$E$17, (F38/-AVERAGE(('Annual Income Statement US$'!$F$24+'Annual Income Statement US$'!$F$27),('Annual Income Statement US$'!$G$24+'Annual Income Statement US$'!$G$27)))*365, (F38 / -SUM(OFFSET('Interim Inc Statement US$'!F24,0,-3,,4),OFFSET('Interim Inc Statement US$'!F27,0,-3,,4)))*365), IF(F3=DATE(Inputs!$E$17,Inputs!$E$15,Inputs!$E$16), (F38/-AVERAGE(('Annual Income Statement US$'!$E$24+'Annual Income Statement US$'!$E$27),('Annual Income Statement US$'!$F$24+'Annual Income Statement US$'!$F$27)))*365, (F38 / -SUM(OFFSET('Interim Inc Statement US$'!F24,0,-1,,2),OFFSET('Interim Inc Statement US$'!F27,0,-1,,2)))*365)),"")</f>
        <v>55.367802334534993</v>
      </c>
      <c r="G120" s="205">
        <f ca="1">IFERROR(IF(Inputs!$E$14 = "Quarterly", IF(YEAR(G3)=Inputs!$E$17, (G38/-AVERAGE(('Annual Income Statement US$'!$F$24+'Annual Income Statement US$'!$F$27),('Annual Income Statement US$'!$G$24+'Annual Income Statement US$'!$G$27)))*365, (G38 / -SUM(OFFSET('Interim Inc Statement US$'!G24,0,-3,,4),OFFSET('Interim Inc Statement US$'!G27,0,-3,,4)))*365), IF(G3=DATE(Inputs!$E$17,Inputs!$E$15,Inputs!$E$16), (G38/-AVERAGE(('Annual Income Statement US$'!$E$24+'Annual Income Statement US$'!$E$27),('Annual Income Statement US$'!$F$24+'Annual Income Statement US$'!$F$27)))*365, (G38 / -SUM(OFFSET('Interim Inc Statement US$'!G24,0,-1,,2),OFFSET('Interim Inc Statement US$'!G27,0,-1,,2)))*365)),"")</f>
        <v>53.777153850563984</v>
      </c>
      <c r="H120" s="205">
        <f ca="1">IFERROR(IF(Inputs!$E$14 = "Quarterly", IF(YEAR(H3)=Inputs!$E$17, (H38/-AVERAGE(('Annual Income Statement US$'!$F$24+'Annual Income Statement US$'!$F$27),('Annual Income Statement US$'!$G$24+'Annual Income Statement US$'!$G$27)))*365, (H38 / -SUM(OFFSET('Interim Inc Statement US$'!H24,0,-3,,4),OFFSET('Interim Inc Statement US$'!H27,0,-3,,4)))*365), IF(H3=DATE(Inputs!$E$17,Inputs!$E$15,Inputs!$E$16), (H38/-AVERAGE(('Annual Income Statement US$'!$E$24+'Annual Income Statement US$'!$E$27),('Annual Income Statement US$'!$F$24+'Annual Income Statement US$'!$F$27)))*365, (H38 / -SUM(OFFSET('Interim Inc Statement US$'!H24,0,-1,,2),OFFSET('Interim Inc Statement US$'!H27,0,-1,,2)))*365)),"")</f>
        <v>53.062247600220807</v>
      </c>
      <c r="I120" s="205">
        <f ca="1">IFERROR(IF(Inputs!$E$14 = "Quarterly", IF(YEAR(I3)=Inputs!$E$17, (I38/-AVERAGE(('Annual Income Statement US$'!$F$24+'Annual Income Statement US$'!$F$27),('Annual Income Statement US$'!$G$24+'Annual Income Statement US$'!$G$27)))*365, (I38 / -SUM(OFFSET('Interim Inc Statement US$'!I24,0,-3,,4),OFFSET('Interim Inc Statement US$'!I27,0,-3,,4)))*365), IF(I3=DATE(Inputs!$E$17,Inputs!$E$15,Inputs!$E$16), (I38/-AVERAGE(('Annual Income Statement US$'!$E$24+'Annual Income Statement US$'!$E$27),('Annual Income Statement US$'!$F$24+'Annual Income Statement US$'!$F$27)))*365, (I38 / -SUM(OFFSET('Interim Inc Statement US$'!I24,0,-1,,2),OFFSET('Interim Inc Statement US$'!I27,0,-1,,2)))*365)),"")</f>
        <v>47.631961071984584</v>
      </c>
      <c r="J120" s="205">
        <f ca="1">IFERROR(IF(Inputs!$E$14 = "Quarterly", IF(YEAR(J3)=Inputs!$E$17, (J38/-AVERAGE(('Annual Income Statement US$'!$F$24+'Annual Income Statement US$'!$F$27),('Annual Income Statement US$'!$G$24+'Annual Income Statement US$'!$G$27)))*365, (J38 / -SUM(OFFSET('Interim Inc Statement US$'!J24,0,-3,,4),OFFSET('Interim Inc Statement US$'!J27,0,-3,,4)))*365), IF(J3=DATE(Inputs!$E$17,Inputs!$E$15,Inputs!$E$16), (J38/-AVERAGE(('Annual Income Statement US$'!$E$24+'Annual Income Statement US$'!$E$27),('Annual Income Statement US$'!$F$24+'Annual Income Statement US$'!$F$27)))*365, (J38 / -SUM(OFFSET('Interim Inc Statement US$'!J24,0,-1,,2),OFFSET('Interim Inc Statement US$'!J27,0,-1,,2)))*365)),"")</f>
        <v>49.060306152477494</v>
      </c>
      <c r="K120" s="205">
        <f ca="1">IFERROR(IF(Inputs!$E$14 = "Quarterly", IF(YEAR(K3)=Inputs!$E$17, (K38/-AVERAGE(('Annual Income Statement US$'!$F$24+'Annual Income Statement US$'!$F$27),('Annual Income Statement US$'!$G$24+'Annual Income Statement US$'!$G$27)))*365, (K38 / -SUM(OFFSET('Interim Inc Statement US$'!K24,0,-3,,4),OFFSET('Interim Inc Statement US$'!K27,0,-3,,4)))*365), IF(K3=DATE(Inputs!$E$17,Inputs!$E$15,Inputs!$E$16), (K38/-AVERAGE(('Annual Income Statement US$'!$E$24+'Annual Income Statement US$'!$E$27),('Annual Income Statement US$'!$F$24+'Annual Income Statement US$'!$F$27)))*365, (K38 / -SUM(OFFSET('Interim Inc Statement US$'!K24,0,-1,,2),OFFSET('Interim Inc Statement US$'!K27,0,-1,,2)))*365)),"")</f>
        <v>45.958674091001214</v>
      </c>
      <c r="L120" s="205">
        <f ca="1">IFERROR(IF(Inputs!$E$14 = "Quarterly", IF(YEAR(L3)=Inputs!$E$17, (L38/-AVERAGE(('Annual Income Statement US$'!$F$24+'Annual Income Statement US$'!$F$27),('Annual Income Statement US$'!$G$24+'Annual Income Statement US$'!$G$27)))*365, (L38 / -SUM(OFFSET('Interim Inc Statement US$'!L24,0,-3,,4),OFFSET('Interim Inc Statement US$'!L27,0,-3,,4)))*365), IF(L3=DATE(Inputs!$E$17,Inputs!$E$15,Inputs!$E$16), (L38/-AVERAGE(('Annual Income Statement US$'!$E$24+'Annual Income Statement US$'!$E$27),('Annual Income Statement US$'!$F$24+'Annual Income Statement US$'!$F$27)))*365, (L38 / -SUM(OFFSET('Interim Inc Statement US$'!L24,0,-1,,2),OFFSET('Interim Inc Statement US$'!L27,0,-1,,2)))*365)),"")</f>
        <v>52.819147713423391</v>
      </c>
      <c r="M120" s="205">
        <f ca="1">IFERROR(IF(Inputs!$E$14 = "Quarterly", IF(YEAR(M3)=Inputs!$E$17, (M38/-AVERAGE(('Annual Income Statement US$'!$F$24+'Annual Income Statement US$'!$F$27),('Annual Income Statement US$'!$G$24+'Annual Income Statement US$'!$G$27)))*365, (M38 / -SUM(OFFSET('Interim Inc Statement US$'!M24,0,-3,,4),OFFSET('Interim Inc Statement US$'!M27,0,-3,,4)))*365), IF(M3=DATE(Inputs!$E$17,Inputs!$E$15,Inputs!$E$16), (M38/-AVERAGE(('Annual Income Statement US$'!$E$24+'Annual Income Statement US$'!$E$27),('Annual Income Statement US$'!$F$24+'Annual Income Statement US$'!$F$27)))*365, (M38 / -SUM(OFFSET('Interim Inc Statement US$'!M24,0,-1,,2),OFFSET('Interim Inc Statement US$'!M27,0,-1,,2)))*365)),"")</f>
        <v>53.223840099599919</v>
      </c>
      <c r="N120" s="205">
        <f ca="1">IFERROR(IF(Inputs!$E$14 = "Quarterly", IF(YEAR(N3)=Inputs!$E$17, (N38/-AVERAGE(('Annual Income Statement US$'!$F$24+'Annual Income Statement US$'!$F$27),('Annual Income Statement US$'!$G$24+'Annual Income Statement US$'!$G$27)))*365, (N38 / -SUM(OFFSET('Interim Inc Statement US$'!N24,0,-3,,4),OFFSET('Interim Inc Statement US$'!N27,0,-3,,4)))*365), IF(N3=DATE(Inputs!$E$17,Inputs!$E$15,Inputs!$E$16), (N38/-AVERAGE(('Annual Income Statement US$'!$E$24+'Annual Income Statement US$'!$E$27),('Annual Income Statement US$'!$F$24+'Annual Income Statement US$'!$F$27)))*365, (N38 / -SUM(OFFSET('Interim Inc Statement US$'!N24,0,-1,,2),OFFSET('Interim Inc Statement US$'!N27,0,-1,,2)))*365)),"")</f>
        <v>52.284611853634942</v>
      </c>
      <c r="O120" s="205">
        <f ca="1">IFERROR(IF(Inputs!$E$14 = "Quarterly", IF(YEAR(O3)=Inputs!$E$17, (O38/-AVERAGE(('Annual Income Statement US$'!$F$24+'Annual Income Statement US$'!$F$27),('Annual Income Statement US$'!$G$24+'Annual Income Statement US$'!$G$27)))*365, (O38 / -SUM(OFFSET('Interim Inc Statement US$'!O24,0,-3,,4),OFFSET('Interim Inc Statement US$'!O27,0,-3,,4)))*365), IF(O3=DATE(Inputs!$E$17,Inputs!$E$15,Inputs!$E$16), (O38/-AVERAGE(('Annual Income Statement US$'!$E$24+'Annual Income Statement US$'!$E$27),('Annual Income Statement US$'!$F$24+'Annual Income Statement US$'!$F$27)))*365, (O38 / -SUM(OFFSET('Interim Inc Statement US$'!O24,0,-1,,2),OFFSET('Interim Inc Statement US$'!O27,0,-1,,2)))*365)),"")</f>
        <v>46.70790035743611</v>
      </c>
      <c r="P120" s="205">
        <f ca="1">IFERROR(IF(Inputs!$E$14 = "Quarterly", IF(YEAR(P3)=Inputs!$E$17, (P38/-AVERAGE(('Annual Income Statement US$'!$F$24+'Annual Income Statement US$'!$F$27),('Annual Income Statement US$'!$G$24+'Annual Income Statement US$'!$G$27)))*365, (P38 / -SUM(OFFSET('Interim Inc Statement US$'!P24,0,-3,,4),OFFSET('Interim Inc Statement US$'!P27,0,-3,,4)))*365), IF(P3=DATE(Inputs!$E$17,Inputs!$E$15,Inputs!$E$16), (P38/-AVERAGE(('Annual Income Statement US$'!$E$24+'Annual Income Statement US$'!$E$27),('Annual Income Statement US$'!$F$24+'Annual Income Statement US$'!$F$27)))*365, (P38 / -SUM(OFFSET('Interim Inc Statement US$'!P24,0,-1,,2),OFFSET('Interim Inc Statement US$'!P27,0,-1,,2)))*365)),"")</f>
        <v>47.870517518667754</v>
      </c>
      <c r="Q120" s="205">
        <f ca="1">IFERROR(IF(Inputs!$E$14 = "Quarterly", IF(YEAR(Q3)=Inputs!$E$17, (Q38/-AVERAGE(('Annual Income Statement US$'!$F$24+'Annual Income Statement US$'!$F$27),('Annual Income Statement US$'!$G$24+'Annual Income Statement US$'!$G$27)))*365, (Q38 / -SUM(OFFSET('Interim Inc Statement US$'!Q24,0,-3,,4),OFFSET('Interim Inc Statement US$'!Q27,0,-3,,4)))*365), IF(Q3=DATE(Inputs!$E$17,Inputs!$E$15,Inputs!$E$16), (Q38/-AVERAGE(('Annual Income Statement US$'!$E$24+'Annual Income Statement US$'!$E$27),('Annual Income Statement US$'!$F$24+'Annual Income Statement US$'!$F$27)))*365, (Q38 / -SUM(OFFSET('Interim Inc Statement US$'!Q24,0,-1,,2),OFFSET('Interim Inc Statement US$'!Q27,0,-1,,2)))*365)),"")</f>
        <v>41.991897900887551</v>
      </c>
      <c r="R120" s="205">
        <f ca="1">IFERROR(IF(Inputs!$E$14 = "Quarterly", IF(YEAR(R3)=Inputs!$E$17, (R38/-AVERAGE(('Annual Income Statement US$'!$F$24+'Annual Income Statement US$'!$F$27),('Annual Income Statement US$'!$G$24+'Annual Income Statement US$'!$G$27)))*365, (R38 / -SUM(OFFSET('Interim Inc Statement US$'!R24,0,-3,,4),OFFSET('Interim Inc Statement US$'!R27,0,-3,,4)))*365), IF(R3=DATE(Inputs!$E$17,Inputs!$E$15,Inputs!$E$16), (R38/-AVERAGE(('Annual Income Statement US$'!$E$24+'Annual Income Statement US$'!$E$27),('Annual Income Statement US$'!$F$24+'Annual Income Statement US$'!$F$27)))*365, (R38 / -SUM(OFFSET('Interim Inc Statement US$'!R24,0,-1,,2),OFFSET('Interim Inc Statement US$'!R27,0,-1,,2)))*365)),"")</f>
        <v>53.387419726797354</v>
      </c>
      <c r="S120" s="205">
        <f ca="1">IFERROR(IF(Inputs!$E$14 = "Quarterly", IF(YEAR(S3)=Inputs!$E$17, (S38/-AVERAGE(('Annual Income Statement US$'!$F$24+'Annual Income Statement US$'!$F$27),('Annual Income Statement US$'!$G$24+'Annual Income Statement US$'!$G$27)))*365, (S38 / -SUM(OFFSET('Interim Inc Statement US$'!S24,0,-3,,4),OFFSET('Interim Inc Statement US$'!S27,0,-3,,4)))*365), IF(S3=DATE(Inputs!$E$17,Inputs!$E$15,Inputs!$E$16), (S38/-AVERAGE(('Annual Income Statement US$'!$E$24+'Annual Income Statement US$'!$E$27),('Annual Income Statement US$'!$F$24+'Annual Income Statement US$'!$F$27)))*365, (S38 / -SUM(OFFSET('Interim Inc Statement US$'!S24,0,-1,,2),OFFSET('Interim Inc Statement US$'!S27,0,-1,,2)))*365)),"")</f>
        <v>55.853700584109504</v>
      </c>
      <c r="T120" s="205">
        <f ca="1">IFERROR(IF(Inputs!$E$14 = "Quarterly", IF(YEAR(T3)=Inputs!$E$17, (T38/-AVERAGE(('Annual Income Statement US$'!$F$24+'Annual Income Statement US$'!$F$27),('Annual Income Statement US$'!$G$24+'Annual Income Statement US$'!$G$27)))*365, (T38 / -SUM(OFFSET('Interim Inc Statement US$'!T24,0,-3,,4),OFFSET('Interim Inc Statement US$'!T27,0,-3,,4)))*365), IF(T3=DATE(Inputs!$E$17,Inputs!$E$15,Inputs!$E$16), (T38/-AVERAGE(('Annual Income Statement US$'!$E$24+'Annual Income Statement US$'!$E$27),('Annual Income Statement US$'!$F$24+'Annual Income Statement US$'!$F$27)))*365, (T38 / -SUM(OFFSET('Interim Inc Statement US$'!T24,0,-1,,2),OFFSET('Interim Inc Statement US$'!T27,0,-1,,2)))*365)),"")</f>
        <v>58.252584264319992</v>
      </c>
      <c r="U120" s="205">
        <f ca="1">IFERROR(IF(Inputs!$E$14 = "Quarterly", IF(YEAR(U3)=Inputs!$E$17, (U38/-AVERAGE(('Annual Income Statement US$'!$F$24+'Annual Income Statement US$'!$F$27),('Annual Income Statement US$'!$G$24+'Annual Income Statement US$'!$G$27)))*365, (U38 / -SUM(OFFSET('Interim Inc Statement US$'!U24,0,-3,,4),OFFSET('Interim Inc Statement US$'!U27,0,-3,,4)))*365), IF(U3=DATE(Inputs!$E$17,Inputs!$E$15,Inputs!$E$16), (U38/-AVERAGE(('Annual Income Statement US$'!$E$24+'Annual Income Statement US$'!$E$27),('Annual Income Statement US$'!$F$24+'Annual Income Statement US$'!$F$27)))*365, (U38 / -SUM(OFFSET('Interim Inc Statement US$'!U24,0,-1,,2),OFFSET('Interim Inc Statement US$'!U27,0,-1,,2)))*365)),"")</f>
        <v>59.095368965382164</v>
      </c>
      <c r="V120" s="205">
        <f ca="1">IFERROR(IF(Inputs!$E$14 = "Quarterly", IF(YEAR(V3)=Inputs!$E$17, (V38/-AVERAGE(('Annual Income Statement US$'!$F$24+'Annual Income Statement US$'!$F$27),('Annual Income Statement US$'!$G$24+'Annual Income Statement US$'!$G$27)))*365, (V38 / -SUM(OFFSET('Interim Inc Statement US$'!V24,0,-3,,4),OFFSET('Interim Inc Statement US$'!V27,0,-3,,4)))*365), IF(V3=DATE(Inputs!$E$17,Inputs!$E$15,Inputs!$E$16), (V38/-AVERAGE(('Annual Income Statement US$'!$E$24+'Annual Income Statement US$'!$E$27),('Annual Income Statement US$'!$F$24+'Annual Income Statement US$'!$F$27)))*365, (V38 / -SUM(OFFSET('Interim Inc Statement US$'!V24,0,-1,,2),OFFSET('Interim Inc Statement US$'!V27,0,-1,,2)))*365)),"")</f>
        <v>50.8597441326623</v>
      </c>
      <c r="W120" s="205">
        <f ca="1">IFERROR(IF(Inputs!$E$14 = "Quarterly", IF(YEAR(W3)=Inputs!$E$17, (W38/-AVERAGE(('Annual Income Statement US$'!$F$24+'Annual Income Statement US$'!$F$27),('Annual Income Statement US$'!$G$24+'Annual Income Statement US$'!$G$27)))*365, (W38 / -SUM(OFFSET('Interim Inc Statement US$'!W24,0,-3,,4),OFFSET('Interim Inc Statement US$'!W27,0,-3,,4)))*365), IF(W3=DATE(Inputs!$E$17,Inputs!$E$15,Inputs!$E$16), (W38/-AVERAGE(('Annual Income Statement US$'!$E$24+'Annual Income Statement US$'!$E$27),('Annual Income Statement US$'!$F$24+'Annual Income Statement US$'!$F$27)))*365, (W38 / -SUM(OFFSET('Interim Inc Statement US$'!W24,0,-1,,2),OFFSET('Interim Inc Statement US$'!W27,0,-1,,2)))*365)),"")</f>
        <v>57.227261529315292</v>
      </c>
      <c r="X120" s="205">
        <f ca="1">IFERROR(IF(Inputs!$E$14 = "Quarterly", IF(YEAR(X3)=Inputs!$E$17, (X38/-AVERAGE(('Annual Income Statement US$'!$F$24+'Annual Income Statement US$'!$F$27),('Annual Income Statement US$'!$G$24+'Annual Income Statement US$'!$G$27)))*365, (X38 / -SUM(OFFSET('Interim Inc Statement US$'!X24,0,-3,,4),OFFSET('Interim Inc Statement US$'!X27,0,-3,,4)))*365), IF(X3=DATE(Inputs!$E$17,Inputs!$E$15,Inputs!$E$16), (X38/-AVERAGE(('Annual Income Statement US$'!$E$24+'Annual Income Statement US$'!$E$27),('Annual Income Statement US$'!$F$24+'Annual Income Statement US$'!$F$27)))*365, (X38 / -SUM(OFFSET('Interim Inc Statement US$'!X24,0,-1,,2),OFFSET('Interim Inc Statement US$'!X27,0,-1,,2)))*365)),"")</f>
        <v>84.244242132234589</v>
      </c>
      <c r="Y120" s="205">
        <f ca="1">IFERROR(IF(Inputs!$E$14 = "Quarterly", IF(YEAR(Y3)=Inputs!$E$17, (Y38/-AVERAGE(('Annual Income Statement US$'!$F$24+'Annual Income Statement US$'!$F$27),('Annual Income Statement US$'!$G$24+'Annual Income Statement US$'!$G$27)))*365, (Y38 / -SUM(OFFSET('Interim Inc Statement US$'!Y24,0,-3,,4),OFFSET('Interim Inc Statement US$'!Y27,0,-3,,4)))*365), IF(Y3=DATE(Inputs!$E$17,Inputs!$E$15,Inputs!$E$16), (Y38/-AVERAGE(('Annual Income Statement US$'!$E$24+'Annual Income Statement US$'!$E$27),('Annual Income Statement US$'!$F$24+'Annual Income Statement US$'!$F$27)))*365, (Y38 / -SUM(OFFSET('Interim Inc Statement US$'!Y24,0,-1,,2),OFFSET('Interim Inc Statement US$'!Y27,0,-1,,2)))*365)),"")</f>
        <v>122.20873881552697</v>
      </c>
      <c r="Z120" s="205">
        <f ca="1">IFERROR(IF(Inputs!$E$14 = "Quarterly", IF(YEAR(Z3)=Inputs!$E$17, (Z38/-AVERAGE(('Annual Income Statement US$'!$F$24+'Annual Income Statement US$'!$F$27),('Annual Income Statement US$'!$G$24+'Annual Income Statement US$'!$G$27)))*365, (Z38 / -SUM(OFFSET('Interim Inc Statement US$'!Z24,0,-3,,4),OFFSET('Interim Inc Statement US$'!Z27,0,-3,,4)))*365), IF(Z3=DATE(Inputs!$E$17,Inputs!$E$15,Inputs!$E$16), (Z38/-AVERAGE(('Annual Income Statement US$'!$E$24+'Annual Income Statement US$'!$E$27),('Annual Income Statement US$'!$F$24+'Annual Income Statement US$'!$F$27)))*365, (Z38 / -SUM(OFFSET('Interim Inc Statement US$'!Z24,0,-1,,2),OFFSET('Interim Inc Statement US$'!Z27,0,-1,,2)))*365)),"")</f>
        <v>171.44588961089894</v>
      </c>
      <c r="AA120" s="205">
        <f ca="1">IFERROR(IF(Inputs!$E$14 = "Quarterly", IF(YEAR(AA3)=Inputs!$E$17, (AA38/-AVERAGE(('Annual Income Statement US$'!$F$24+'Annual Income Statement US$'!$F$27),('Annual Income Statement US$'!$G$24+'Annual Income Statement US$'!$G$27)))*365, (AA38 / -SUM(OFFSET('Interim Inc Statement US$'!AA24,0,-3,,4),OFFSET('Interim Inc Statement US$'!AA27,0,-3,,4)))*365), IF(AA3=DATE(Inputs!$E$17,Inputs!$E$15,Inputs!$E$16), (AA38/-AVERAGE(('Annual Income Statement US$'!$E$24+'Annual Income Statement US$'!$E$27),('Annual Income Statement US$'!$F$24+'Annual Income Statement US$'!$F$27)))*365, (AA38 / -SUM(OFFSET('Interim Inc Statement US$'!AA24,0,-1,,2),OFFSET('Interim Inc Statement US$'!AA27,0,-1,,2)))*365)),"")</f>
        <v>148.0092441526852</v>
      </c>
      <c r="AB120" s="205">
        <f ca="1">IFERROR(IF(Inputs!$E$14 = "Quarterly", IF(YEAR(AB3)=Inputs!$E$17, (AB38/-AVERAGE(('Annual Income Statement US$'!$F$24+'Annual Income Statement US$'!$F$27),('Annual Income Statement US$'!$G$24+'Annual Income Statement US$'!$G$27)))*365, (AB38 / -SUM(OFFSET('Interim Inc Statement US$'!AB24,0,-3,,4),OFFSET('Interim Inc Statement US$'!AB27,0,-3,,4)))*365), IF(AB3=DATE(Inputs!$E$17,Inputs!$E$15,Inputs!$E$16), (AB38/-AVERAGE(('Annual Income Statement US$'!$E$24+'Annual Income Statement US$'!$E$27),('Annual Income Statement US$'!$F$24+'Annual Income Statement US$'!$F$27)))*365, (AB38 / -SUM(OFFSET('Interim Inc Statement US$'!AB24,0,-1,,2),OFFSET('Interim Inc Statement US$'!AB27,0,-1,,2)))*365)),"")</f>
        <v>134.64138802919774</v>
      </c>
    </row>
    <row r="121" spans="1:28" x14ac:dyDescent="0.3">
      <c r="A121" s="85" t="s">
        <v>173</v>
      </c>
      <c r="B121" s="205"/>
      <c r="C121" s="205"/>
      <c r="D121" s="205">
        <f>D30/'Interim Inc Statement US$'!D13*365</f>
        <v>66.451975105597086</v>
      </c>
      <c r="E121" s="205">
        <f>E30/'Interim Inc Statement US$'!E13*365</f>
        <v>72.299610380213693</v>
      </c>
      <c r="F121" s="205">
        <f>F30/'Interim Inc Statement US$'!F13*365</f>
        <v>87.796424192123382</v>
      </c>
      <c r="G121" s="205">
        <f>G30/'Interim Inc Statement US$'!G13*365</f>
        <v>85.767642524920674</v>
      </c>
      <c r="H121" s="205">
        <f>H30/'Interim Inc Statement US$'!H13*365</f>
        <v>61.889608348368718</v>
      </c>
      <c r="I121" s="205">
        <f>I30/'Interim Inc Statement US$'!I13*365</f>
        <v>74.895545134499599</v>
      </c>
      <c r="J121" s="205"/>
      <c r="K121" s="205"/>
      <c r="L121" s="205"/>
      <c r="M121" s="205"/>
      <c r="N121" s="205">
        <f>N30/'Interim Inc Statement US$'!N13*365</f>
        <v>78.281191879209445</v>
      </c>
      <c r="O121" s="205"/>
      <c r="P121" s="205"/>
      <c r="Q121" s="205"/>
      <c r="R121" s="205"/>
      <c r="S121" s="205"/>
      <c r="T121" s="205"/>
      <c r="U121" s="205"/>
      <c r="V121" s="205"/>
      <c r="W121" s="205"/>
      <c r="X121" s="205"/>
      <c r="Y121" s="205"/>
      <c r="Z121" s="205"/>
      <c r="AA121" s="205"/>
      <c r="AB121" s="205"/>
    </row>
    <row r="122" spans="1:28" x14ac:dyDescent="0.3">
      <c r="A122" s="8" t="s">
        <v>174</v>
      </c>
      <c r="B122" s="10"/>
      <c r="C122" s="10"/>
      <c r="D122" s="10"/>
      <c r="E122" s="10"/>
      <c r="F122" s="10"/>
      <c r="G122" s="10"/>
      <c r="H122" s="10"/>
      <c r="I122" s="284"/>
      <c r="J122" s="10"/>
      <c r="K122" s="10"/>
      <c r="L122" s="10"/>
      <c r="M122" s="10"/>
      <c r="N122" s="284"/>
      <c r="O122" s="10"/>
      <c r="P122" s="10"/>
      <c r="Q122" s="10"/>
      <c r="R122" s="10"/>
      <c r="S122" s="10"/>
      <c r="T122" s="10"/>
      <c r="U122" s="10"/>
      <c r="V122" s="10"/>
      <c r="W122" s="10"/>
      <c r="X122" s="10"/>
      <c r="Y122" s="10"/>
      <c r="Z122" s="10"/>
      <c r="AA122" s="10"/>
      <c r="AB122" s="10"/>
    </row>
    <row r="123" spans="1:28" x14ac:dyDescent="0.3">
      <c r="A123" s="85" t="s">
        <v>175</v>
      </c>
      <c r="B123" s="5">
        <f>(B66-B16)</f>
        <v>-1434.9599874470423</v>
      </c>
      <c r="C123" s="5">
        <f t="shared" ref="C123:I123" si="302">(C66-C16)</f>
        <v>-813.34302560374772</v>
      </c>
      <c r="D123" s="5">
        <f t="shared" si="302"/>
        <v>-501.60483690378442</v>
      </c>
      <c r="E123" s="5">
        <f t="shared" si="302"/>
        <v>-422.45774999999992</v>
      </c>
      <c r="F123" s="5">
        <f t="shared" si="302"/>
        <v>-1046.0897089477339</v>
      </c>
      <c r="G123" s="5">
        <f t="shared" si="302"/>
        <v>-1001.7017326732673</v>
      </c>
      <c r="H123" s="5">
        <f t="shared" si="302"/>
        <v>-351.94637007694058</v>
      </c>
      <c r="I123" s="5">
        <f t="shared" si="302"/>
        <v>441.71322160148981</v>
      </c>
      <c r="J123" s="5">
        <f>(J66-J16)</f>
        <v>226.76077489112487</v>
      </c>
      <c r="K123" s="5">
        <f>(K66-K16)</f>
        <v>433.57379020138268</v>
      </c>
      <c r="L123" s="5">
        <f>(L66-L16)</f>
        <v>1921.2016357345074</v>
      </c>
      <c r="M123" s="5">
        <f>(M66-M16)</f>
        <v>2187.5745764060139</v>
      </c>
      <c r="N123" s="5">
        <f t="shared" ref="N123" si="303">(N66-N16)</f>
        <v>2064.3410852713178</v>
      </c>
      <c r="O123" s="5">
        <f>(O66-O16)</f>
        <v>2471.5422393116833</v>
      </c>
      <c r="P123" s="5">
        <f>(P66-P16)</f>
        <v>2996.5912612333436</v>
      </c>
      <c r="Q123" s="5">
        <f>(Q66-Q16)</f>
        <v>1882.0245353706014</v>
      </c>
      <c r="R123" s="5">
        <f t="shared" ref="R123:S123" si="304">(R66-R16)</f>
        <v>-554.34864034759175</v>
      </c>
      <c r="S123" s="5">
        <f t="shared" si="304"/>
        <v>-589.53799159984737</v>
      </c>
      <c r="T123" s="5">
        <f t="shared" ref="T123:U123" si="305">(T66-T16)</f>
        <v>-130.6567578998247</v>
      </c>
      <c r="U123" s="5">
        <f t="shared" si="305"/>
        <v>96.227867590454025</v>
      </c>
      <c r="V123" s="5">
        <f t="shared" ref="V123:Y123" si="306">(V66-V16)</f>
        <v>-46.041783860656324</v>
      </c>
      <c r="W123" s="5">
        <f t="shared" si="306"/>
        <v>-1693.4295816146141</v>
      </c>
      <c r="X123" s="5">
        <f t="shared" si="306"/>
        <v>-2005.8554162600408</v>
      </c>
      <c r="Y123" s="5">
        <f t="shared" si="306"/>
        <v>-2020.8693041062984</v>
      </c>
      <c r="Z123" s="5">
        <f t="shared" ref="Z123:AA123" si="307">(Z66-Z16)</f>
        <v>-2784.1451766953201</v>
      </c>
      <c r="AA123" s="5">
        <f t="shared" si="307"/>
        <v>-3070.3452726686028</v>
      </c>
      <c r="AB123" s="5">
        <f t="shared" ref="AB123" si="308">(AB66-AB16)</f>
        <v>-3329.391359192683</v>
      </c>
    </row>
    <row r="124" spans="1:28" x14ac:dyDescent="0.3">
      <c r="A124" s="85" t="s">
        <v>176</v>
      </c>
      <c r="B124" s="5">
        <f>'Balance Sheet Reported'!B124/'Interim Balance Sheet US$'!B7</f>
        <v>0</v>
      </c>
      <c r="C124" s="5">
        <f>'Balance Sheet Reported'!C124/'Interim Balance Sheet US$'!C7</f>
        <v>0</v>
      </c>
      <c r="D124" s="5">
        <f>'Balance Sheet Reported'!D124/'Interim Balance Sheet US$'!D7</f>
        <v>0</v>
      </c>
      <c r="E124" s="5">
        <f>'Balance Sheet Reported'!E124/'Interim Balance Sheet US$'!E7</f>
        <v>0</v>
      </c>
      <c r="F124" s="5">
        <f>'Balance Sheet Reported'!F124/'Interim Balance Sheet US$'!F7</f>
        <v>0</v>
      </c>
      <c r="G124" s="5">
        <f>'Balance Sheet Reported'!G124/'Interim Balance Sheet US$'!G7</f>
        <v>0</v>
      </c>
      <c r="H124" s="5">
        <f>'Balance Sheet Reported'!H124/'Interim Balance Sheet US$'!H7</f>
        <v>0</v>
      </c>
      <c r="I124" s="5">
        <f>'Balance Sheet Reported'!M124/'Interim Balance Sheet US$'!I7</f>
        <v>0</v>
      </c>
      <c r="J124" s="5">
        <f>'Balance Sheet Reported'!N124/'Interim Balance Sheet US$'!J7</f>
        <v>0</v>
      </c>
      <c r="K124" s="5">
        <f>'Balance Sheet Reported'!O124/'Interim Balance Sheet US$'!K7</f>
        <v>0</v>
      </c>
      <c r="L124" s="5">
        <f>'Balance Sheet Reported'!P124/'Interim Balance Sheet US$'!L7</f>
        <v>0</v>
      </c>
      <c r="M124" s="5">
        <f>'Balance Sheet Reported'!Q124/'Interim Balance Sheet US$'!M7</f>
        <v>0</v>
      </c>
      <c r="N124" s="5">
        <f>'Balance Sheet Reported'!R124/'Interim Balance Sheet US$'!N7</f>
        <v>0</v>
      </c>
      <c r="O124" s="5">
        <f>'Balance Sheet Reported'!S124/'Interim Balance Sheet US$'!O7</f>
        <v>0</v>
      </c>
      <c r="P124" s="5">
        <f>'Balance Sheet Reported'!T124/'Interim Balance Sheet US$'!P7</f>
        <v>0</v>
      </c>
      <c r="Q124" s="5">
        <f>'Balance Sheet Reported'!U124/'Interim Balance Sheet US$'!Q7</f>
        <v>0</v>
      </c>
      <c r="R124" s="5">
        <f>'Balance Sheet Reported'!V124/'Interim Balance Sheet US$'!R7</f>
        <v>0</v>
      </c>
      <c r="S124" s="5">
        <f>'Balance Sheet Reported'!W124/'Interim Balance Sheet US$'!S7</f>
        <v>0</v>
      </c>
      <c r="T124" s="5">
        <f>'Balance Sheet Reported'!X124/'Interim Balance Sheet US$'!T7</f>
        <v>0</v>
      </c>
      <c r="U124" s="5">
        <f>'Balance Sheet Reported'!Y124/'Interim Balance Sheet US$'!U7</f>
        <v>0</v>
      </c>
      <c r="V124" s="5">
        <f>'Balance Sheet Reported'!Z124/'Interim Balance Sheet US$'!V7</f>
        <v>0</v>
      </c>
      <c r="W124" s="5">
        <f>'Balance Sheet Reported'!AA124/'Interim Balance Sheet US$'!W7</f>
        <v>0</v>
      </c>
      <c r="X124" s="5">
        <f>'Balance Sheet Reported'!AB124/'Interim Balance Sheet US$'!X7</f>
        <v>0</v>
      </c>
      <c r="Y124" s="5">
        <f>'Balance Sheet Reported'!AC124/'Interim Balance Sheet US$'!Y7</f>
        <v>0</v>
      </c>
      <c r="Z124" s="5">
        <f>'Balance Sheet Reported'!AD124/'Interim Balance Sheet US$'!Z7</f>
        <v>0</v>
      </c>
      <c r="AA124" s="5">
        <f>'Balance Sheet Reported'!AE124/'Interim Balance Sheet US$'!AA7</f>
        <v>0</v>
      </c>
      <c r="AB124" s="5">
        <f>'Balance Sheet Reported'!AF124/'Interim Balance Sheet US$'!AB7</f>
        <v>0</v>
      </c>
    </row>
    <row r="125" spans="1:28" x14ac:dyDescent="0.3">
      <c r="A125" s="85" t="s">
        <v>177</v>
      </c>
      <c r="B125" s="2">
        <f t="shared" ref="B125:K125" si="309">IFERROR(B124/B66,"N/A")</f>
        <v>0</v>
      </c>
      <c r="C125" s="2">
        <f t="shared" si="309"/>
        <v>0</v>
      </c>
      <c r="D125" s="2">
        <f t="shared" si="309"/>
        <v>0</v>
      </c>
      <c r="E125" s="2">
        <f t="shared" si="309"/>
        <v>0</v>
      </c>
      <c r="F125" s="2">
        <f t="shared" si="309"/>
        <v>0</v>
      </c>
      <c r="G125" s="2">
        <f t="shared" si="309"/>
        <v>0</v>
      </c>
      <c r="H125" s="2">
        <f t="shared" si="309"/>
        <v>0</v>
      </c>
      <c r="I125" s="2">
        <f t="shared" si="309"/>
        <v>0</v>
      </c>
      <c r="J125" s="2">
        <f t="shared" si="309"/>
        <v>0</v>
      </c>
      <c r="K125" s="2">
        <f t="shared" si="309"/>
        <v>0</v>
      </c>
      <c r="L125" s="2">
        <f t="shared" ref="L125:P125" si="310">IFERROR(L124/L66,"N/A")</f>
        <v>0</v>
      </c>
      <c r="M125" s="2">
        <f t="shared" si="310"/>
        <v>0</v>
      </c>
      <c r="N125" s="2">
        <f t="shared" si="310"/>
        <v>0</v>
      </c>
      <c r="O125" s="2">
        <f t="shared" si="310"/>
        <v>0</v>
      </c>
      <c r="P125" s="2">
        <f t="shared" si="310"/>
        <v>0</v>
      </c>
      <c r="Q125" s="2">
        <f t="shared" ref="Q125:S125" si="311">IFERROR(Q124/Q66,"N/A")</f>
        <v>0</v>
      </c>
      <c r="R125" s="2">
        <f t="shared" si="311"/>
        <v>0</v>
      </c>
      <c r="S125" s="2">
        <f t="shared" si="311"/>
        <v>0</v>
      </c>
      <c r="T125" s="2">
        <f t="shared" ref="T125:U125" si="312">IFERROR(T124/T66,"N/A")</f>
        <v>0</v>
      </c>
      <c r="U125" s="2">
        <f t="shared" si="312"/>
        <v>0</v>
      </c>
      <c r="V125" s="2">
        <f t="shared" ref="V125:Y125" si="313">IFERROR(V124/V66,"N/A")</f>
        <v>0</v>
      </c>
      <c r="W125" s="2">
        <f t="shared" si="313"/>
        <v>0</v>
      </c>
      <c r="X125" s="2">
        <f t="shared" si="313"/>
        <v>0</v>
      </c>
      <c r="Y125" s="2">
        <f t="shared" si="313"/>
        <v>0</v>
      </c>
      <c r="Z125" s="2">
        <f t="shared" ref="Z125:AA125" si="314">IFERROR(Z124/Z66,"N/A")</f>
        <v>0</v>
      </c>
      <c r="AA125" s="2">
        <f t="shared" si="314"/>
        <v>0</v>
      </c>
      <c r="AB125" s="2">
        <f t="shared" ref="AB125" si="315">IFERROR(AB124/AB66,"N/A")</f>
        <v>0</v>
      </c>
    </row>
    <row r="126" spans="1:28" x14ac:dyDescent="0.3">
      <c r="A126" s="85" t="s">
        <v>178</v>
      </c>
      <c r="B126" s="2">
        <f>IFERROR(B124/B123,"N/A")</f>
        <v>0</v>
      </c>
      <c r="C126" s="2">
        <f t="shared" ref="C126:I126" si="316">IFERROR(C124/C123,"N/A")</f>
        <v>0</v>
      </c>
      <c r="D126" s="2">
        <f t="shared" si="316"/>
        <v>0</v>
      </c>
      <c r="E126" s="2">
        <f t="shared" si="316"/>
        <v>0</v>
      </c>
      <c r="F126" s="2">
        <f t="shared" si="316"/>
        <v>0</v>
      </c>
      <c r="G126" s="2">
        <f t="shared" si="316"/>
        <v>0</v>
      </c>
      <c r="H126" s="2">
        <f t="shared" si="316"/>
        <v>0</v>
      </c>
      <c r="I126" s="2">
        <f t="shared" si="316"/>
        <v>0</v>
      </c>
      <c r="J126" s="2">
        <f>IFERROR(J124/J123,"N/A")</f>
        <v>0</v>
      </c>
      <c r="K126" s="2">
        <f>IFERROR(K124/K123,"N/A")</f>
        <v>0</v>
      </c>
      <c r="L126" s="2">
        <f>IFERROR(L124/L123,"N/A")</f>
        <v>0</v>
      </c>
      <c r="M126" s="2">
        <f>IFERROR(M124/M123,"N/A")</f>
        <v>0</v>
      </c>
      <c r="N126" s="2">
        <f t="shared" ref="N126" si="317">IFERROR(N124/N123,"N/A")</f>
        <v>0</v>
      </c>
      <c r="O126" s="2">
        <f>IFERROR(O124/O123,"N/A")</f>
        <v>0</v>
      </c>
      <c r="P126" s="2">
        <f>IFERROR(P124/P123,"N/A")</f>
        <v>0</v>
      </c>
      <c r="Q126" s="2">
        <f>IFERROR(Q124/Q123,"N/A")</f>
        <v>0</v>
      </c>
      <c r="R126" s="2">
        <f t="shared" ref="R126:S126" si="318">IFERROR(R124/R123,"N/A")</f>
        <v>0</v>
      </c>
      <c r="S126" s="2">
        <f t="shared" si="318"/>
        <v>0</v>
      </c>
      <c r="T126" s="2">
        <f t="shared" ref="T126:U126" si="319">IFERROR(T124/T123,"N/A")</f>
        <v>0</v>
      </c>
      <c r="U126" s="2">
        <f t="shared" si="319"/>
        <v>0</v>
      </c>
      <c r="V126" s="2">
        <f t="shared" ref="V126:Y126" si="320">IFERROR(V124/V123,"N/A")</f>
        <v>0</v>
      </c>
      <c r="W126" s="2">
        <f t="shared" si="320"/>
        <v>0</v>
      </c>
      <c r="X126" s="2">
        <f t="shared" si="320"/>
        <v>0</v>
      </c>
      <c r="Y126" s="2">
        <f t="shared" si="320"/>
        <v>0</v>
      </c>
      <c r="Z126" s="2">
        <f t="shared" ref="Z126:AA126" si="321">IFERROR(Z124/Z123,"N/A")</f>
        <v>0</v>
      </c>
      <c r="AA126" s="2">
        <f t="shared" si="321"/>
        <v>0</v>
      </c>
      <c r="AB126" s="2">
        <f t="shared" ref="AB126" si="322">IFERROR(AB124/AB123,"N/A")</f>
        <v>0</v>
      </c>
    </row>
    <row r="127" spans="1:28" x14ac:dyDescent="0.3">
      <c r="A127" s="85" t="s">
        <v>179</v>
      </c>
      <c r="B127" s="5">
        <f>B124+B72</f>
        <v>2319.9435116899422</v>
      </c>
      <c r="C127" s="5">
        <f t="shared" ref="C127:I127" si="323">C124+C72</f>
        <v>2099.991923107988</v>
      </c>
      <c r="D127" s="5">
        <f t="shared" si="323"/>
        <v>2255.728894528625</v>
      </c>
      <c r="E127" s="5">
        <f t="shared" si="323"/>
        <v>2687.8423000000003</v>
      </c>
      <c r="F127" s="5">
        <f t="shared" si="323"/>
        <v>2702.8487609048093</v>
      </c>
      <c r="G127" s="5">
        <f t="shared" si="323"/>
        <v>2940.9034653465342</v>
      </c>
      <c r="H127" s="5">
        <f t="shared" si="323"/>
        <v>2699.0172926030318</v>
      </c>
      <c r="I127" s="5">
        <f t="shared" si="323"/>
        <v>2710.6145251396647</v>
      </c>
      <c r="J127" s="5">
        <f>J124+J72</f>
        <v>2372.7286379336247</v>
      </c>
      <c r="K127" s="5">
        <f>K124+K72</f>
        <v>2037.1205290051089</v>
      </c>
      <c r="L127" s="5">
        <f>L124+L72</f>
        <v>1725.3853413022966</v>
      </c>
      <c r="M127" s="5">
        <f>M124+M72</f>
        <v>1841.5400525017903</v>
      </c>
      <c r="N127" s="5">
        <f t="shared" ref="N127" si="324">N124+N72</f>
        <v>1737.2093023255807</v>
      </c>
      <c r="O127" s="5">
        <f>O124+O72</f>
        <v>1780.1804545627588</v>
      </c>
      <c r="P127" s="5">
        <f>P124+P72</f>
        <v>1360.396653238302</v>
      </c>
      <c r="Q127" s="5">
        <f>Q124+Q72</f>
        <v>3830.1623448174537</v>
      </c>
      <c r="R127" s="5">
        <f t="shared" ref="R127:S127" si="325">R124+R72</f>
        <v>2861.6375758483782</v>
      </c>
      <c r="S127" s="5">
        <f t="shared" si="325"/>
        <v>2695.6853760977483</v>
      </c>
      <c r="T127" s="5">
        <f t="shared" ref="T127:U127" si="326">T124+T72</f>
        <v>2636.547640625944</v>
      </c>
      <c r="U127" s="5">
        <f t="shared" si="326"/>
        <v>2581.2163202463435</v>
      </c>
      <c r="V127" s="5">
        <f t="shared" ref="V127:Y127" si="327">V124+V72</f>
        <v>3233.5498972906817</v>
      </c>
      <c r="W127" s="5">
        <f t="shared" si="327"/>
        <v>3712.4337065409545</v>
      </c>
      <c r="X127" s="5">
        <f t="shared" si="327"/>
        <v>4043.9906913895356</v>
      </c>
      <c r="Y127" s="5">
        <f t="shared" si="327"/>
        <v>4119.8108250131354</v>
      </c>
      <c r="Z127" s="5">
        <f t="shared" ref="Z127:AA127" si="328">Z124+Z72</f>
        <v>5398.7583572110798</v>
      </c>
      <c r="AA127" s="5">
        <f t="shared" si="328"/>
        <v>6173.7657308809303</v>
      </c>
      <c r="AB127" s="5">
        <f t="shared" ref="AB127" si="329">AB124+AB72</f>
        <v>6291.3907284768229</v>
      </c>
    </row>
    <row r="128" spans="1:28" x14ac:dyDescent="0.3">
      <c r="A128" s="85" t="s">
        <v>180</v>
      </c>
      <c r="B128" s="5">
        <f t="shared" ref="B128:K128" ca="1" si="330">B124+B75</f>
        <v>4339.6252592692854</v>
      </c>
      <c r="C128" s="5">
        <f t="shared" ca="1" si="330"/>
        <v>4119.6736706873317</v>
      </c>
      <c r="D128" s="5">
        <f t="shared" ca="1" si="330"/>
        <v>4275.4106421079687</v>
      </c>
      <c r="E128" s="5">
        <f t="shared" ca="1" si="330"/>
        <v>4707.5240475793435</v>
      </c>
      <c r="F128" s="5">
        <f t="shared" ca="1" si="330"/>
        <v>4742.4250375441061</v>
      </c>
      <c r="G128" s="5">
        <f t="shared" ca="1" si="330"/>
        <v>5110.5591308737958</v>
      </c>
      <c r="H128" s="5">
        <f t="shared" ca="1" si="330"/>
        <v>5025.4964988438132</v>
      </c>
      <c r="I128" s="5">
        <f t="shared" ca="1" si="330"/>
        <v>5152.5158682299816</v>
      </c>
      <c r="J128" s="5">
        <f t="shared" ca="1" si="330"/>
        <v>4889.2304032847051</v>
      </c>
      <c r="K128" s="5">
        <f t="shared" ca="1" si="330"/>
        <v>4620.9411862063735</v>
      </c>
      <c r="L128" s="5">
        <f t="shared" ref="L128:P128" ca="1" si="331">L124+L75</f>
        <v>4373.4287859599463</v>
      </c>
      <c r="M128" s="5">
        <f t="shared" ca="1" si="331"/>
        <v>4554.3794053397469</v>
      </c>
      <c r="N128" s="5">
        <f t="shared" ca="1" si="331"/>
        <v>4497.0951751282955</v>
      </c>
      <c r="O128" s="5">
        <f t="shared" ca="1" si="331"/>
        <v>4531.5314971586504</v>
      </c>
      <c r="P128" s="5">
        <f t="shared" ca="1" si="331"/>
        <v>4147.5700399293228</v>
      </c>
      <c r="Q128" s="5">
        <f t="shared" ref="Q128:S128" ca="1" si="332">Q124+Q75</f>
        <v>6627.9664242346898</v>
      </c>
      <c r="R128" s="5">
        <f t="shared" ca="1" si="332"/>
        <v>4967.2435926785474</v>
      </c>
      <c r="S128" s="5">
        <f t="shared" ca="1" si="332"/>
        <v>4134.2508704992542</v>
      </c>
      <c r="T128" s="5">
        <f t="shared" ref="T128:U128" ca="1" si="333">T124+T75</f>
        <v>3341.423473454533</v>
      </c>
      <c r="U128" s="5">
        <f t="shared" ca="1" si="333"/>
        <v>2581.2163202463435</v>
      </c>
      <c r="V128" s="5">
        <f t="shared" ref="V128:Y128" ca="1" si="334">V124+V75</f>
        <v>3233.5498972906817</v>
      </c>
      <c r="W128" s="5">
        <f t="shared" ca="1" si="334"/>
        <v>3712.4337065409545</v>
      </c>
      <c r="X128" s="5">
        <f t="shared" ca="1" si="334"/>
        <v>4043.9906913895356</v>
      </c>
      <c r="Y128" s="5">
        <f t="shared" ca="1" si="334"/>
        <v>4119.8108250131354</v>
      </c>
      <c r="Z128" s="5">
        <f t="shared" ref="Z128:AA128" ca="1" si="335">Z124+Z75</f>
        <v>5398.7583572110798</v>
      </c>
      <c r="AA128" s="5">
        <f t="shared" ca="1" si="335"/>
        <v>6173.7657308809303</v>
      </c>
      <c r="AB128" s="5">
        <f t="shared" ref="AB128" ca="1" si="336">AB124+AB75</f>
        <v>6291.3907284768229</v>
      </c>
    </row>
    <row r="129" spans="1:28" x14ac:dyDescent="0.3">
      <c r="A129" s="85" t="s">
        <v>471</v>
      </c>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row>
    <row r="130" spans="1:28" x14ac:dyDescent="0.3">
      <c r="A130" s="85" t="s">
        <v>472</v>
      </c>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row>
    <row r="131" spans="1:28" x14ac:dyDescent="0.3">
      <c r="A131" s="8" t="s">
        <v>181</v>
      </c>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row>
    <row r="132" spans="1:28" x14ac:dyDescent="0.3">
      <c r="A132" s="85" t="s">
        <v>182</v>
      </c>
      <c r="B132" s="2"/>
      <c r="C132" s="2"/>
      <c r="D132" s="2"/>
      <c r="E132" s="2"/>
      <c r="F132" s="2"/>
      <c r="G132" s="2"/>
      <c r="H132" s="2"/>
    </row>
    <row r="133" spans="1:28" x14ac:dyDescent="0.3">
      <c r="A133" s="85" t="s">
        <v>183</v>
      </c>
      <c r="B133" s="5"/>
      <c r="C133" s="5"/>
      <c r="D133" s="5"/>
      <c r="E133" s="5"/>
      <c r="F133" s="5"/>
      <c r="G133" s="5"/>
      <c r="H133" s="5"/>
    </row>
    <row r="134" spans="1:28" x14ac:dyDescent="0.3">
      <c r="A134" s="85"/>
      <c r="B134" s="218"/>
      <c r="C134" s="218"/>
      <c r="D134" s="218"/>
      <c r="E134" s="218"/>
      <c r="F134" s="218"/>
      <c r="G134" s="218"/>
      <c r="H134" s="218"/>
    </row>
  </sheetData>
  <mergeCells count="1">
    <mergeCell ref="A1:S1"/>
  </mergeCells>
  <pageMargins left="0.70866141732283472" right="0.70866141732283472" top="0.74803149606299213" bottom="0.74803149606299213" header="0.31496062992125984" footer="0.31496062992125984"/>
  <pageSetup paperSize="9" scale="24" orientation="portrait" r:id="rId1"/>
  <headerFooter alignWithMargins="0"/>
  <rowBreaks count="1" manualBreakCount="1">
    <brk id="68" max="27" man="1"/>
  </rowBreaks>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tint="0.39997558519241921"/>
  </sheetPr>
  <dimension ref="B9:J24"/>
  <sheetViews>
    <sheetView view="pageBreakPreview" zoomScale="60" zoomScaleNormal="100" workbookViewId="0">
      <selection activeCell="F36" sqref="F36"/>
    </sheetView>
  </sheetViews>
  <sheetFormatPr defaultColWidth="9" defaultRowHeight="14.4" x14ac:dyDescent="0.3"/>
  <cols>
    <col min="1" max="16384" width="9" style="52"/>
  </cols>
  <sheetData>
    <row r="9" spans="2:10" x14ac:dyDescent="0.3">
      <c r="B9" s="351" t="s">
        <v>290</v>
      </c>
      <c r="C9" s="351"/>
      <c r="D9" s="351"/>
      <c r="E9" s="351"/>
      <c r="F9" s="351"/>
      <c r="G9" s="351"/>
      <c r="H9" s="351"/>
      <c r="I9" s="351"/>
      <c r="J9" s="351"/>
    </row>
    <row r="10" spans="2:10" x14ac:dyDescent="0.3">
      <c r="B10" s="351"/>
      <c r="C10" s="351"/>
      <c r="D10" s="351"/>
      <c r="E10" s="351"/>
      <c r="F10" s="351"/>
      <c r="G10" s="351"/>
      <c r="H10" s="351"/>
      <c r="I10" s="351"/>
      <c r="J10" s="351"/>
    </row>
    <row r="11" spans="2:10" x14ac:dyDescent="0.3">
      <c r="B11" s="351"/>
      <c r="C11" s="351"/>
      <c r="D11" s="351"/>
      <c r="E11" s="351"/>
      <c r="F11" s="351"/>
      <c r="G11" s="351"/>
      <c r="H11" s="351"/>
      <c r="I11" s="351"/>
      <c r="J11" s="351"/>
    </row>
    <row r="12" spans="2:10" x14ac:dyDescent="0.3">
      <c r="B12" s="351"/>
      <c r="C12" s="351"/>
      <c r="D12" s="351"/>
      <c r="E12" s="351"/>
      <c r="F12" s="351"/>
      <c r="G12" s="351"/>
      <c r="H12" s="351"/>
      <c r="I12" s="351"/>
      <c r="J12" s="351"/>
    </row>
    <row r="13" spans="2:10" x14ac:dyDescent="0.3">
      <c r="B13" s="351"/>
      <c r="C13" s="351"/>
      <c r="D13" s="351"/>
      <c r="E13" s="351"/>
      <c r="F13" s="351"/>
      <c r="G13" s="351"/>
      <c r="H13" s="351"/>
      <c r="I13" s="351"/>
      <c r="J13" s="351"/>
    </row>
    <row r="14" spans="2:10" x14ac:dyDescent="0.3">
      <c r="B14" s="351"/>
      <c r="C14" s="351"/>
      <c r="D14" s="351"/>
      <c r="E14" s="351"/>
      <c r="F14" s="351"/>
      <c r="G14" s="351"/>
      <c r="H14" s="351"/>
      <c r="I14" s="351"/>
      <c r="J14" s="351"/>
    </row>
    <row r="15" spans="2:10" x14ac:dyDescent="0.3">
      <c r="B15" s="351"/>
      <c r="C15" s="351"/>
      <c r="D15" s="351"/>
      <c r="E15" s="351"/>
      <c r="F15" s="351"/>
      <c r="G15" s="351"/>
      <c r="H15" s="351"/>
      <c r="I15" s="351"/>
      <c r="J15" s="351"/>
    </row>
    <row r="16" spans="2:10" x14ac:dyDescent="0.3">
      <c r="B16" s="351"/>
      <c r="C16" s="351"/>
      <c r="D16" s="351"/>
      <c r="E16" s="351"/>
      <c r="F16" s="351"/>
      <c r="G16" s="351"/>
      <c r="H16" s="351"/>
      <c r="I16" s="351"/>
      <c r="J16" s="351"/>
    </row>
    <row r="17" spans="2:10" x14ac:dyDescent="0.3">
      <c r="B17" s="351"/>
      <c r="C17" s="351"/>
      <c r="D17" s="351"/>
      <c r="E17" s="351"/>
      <c r="F17" s="351"/>
      <c r="G17" s="351"/>
      <c r="H17" s="351"/>
      <c r="I17" s="351"/>
      <c r="J17" s="351"/>
    </row>
    <row r="18" spans="2:10" x14ac:dyDescent="0.3">
      <c r="B18" s="351"/>
      <c r="C18" s="351"/>
      <c r="D18" s="351"/>
      <c r="E18" s="351"/>
      <c r="F18" s="351"/>
      <c r="G18" s="351"/>
      <c r="H18" s="351"/>
      <c r="I18" s="351"/>
      <c r="J18" s="351"/>
    </row>
    <row r="19" spans="2:10" x14ac:dyDescent="0.3">
      <c r="B19" s="351"/>
      <c r="C19" s="351"/>
      <c r="D19" s="351"/>
      <c r="E19" s="351"/>
      <c r="F19" s="351"/>
      <c r="G19" s="351"/>
      <c r="H19" s="351"/>
      <c r="I19" s="351"/>
      <c r="J19" s="351"/>
    </row>
    <row r="20" spans="2:10" x14ac:dyDescent="0.3">
      <c r="B20" s="351"/>
      <c r="C20" s="351"/>
      <c r="D20" s="351"/>
      <c r="E20" s="351"/>
      <c r="F20" s="351"/>
      <c r="G20" s="351"/>
      <c r="H20" s="351"/>
      <c r="I20" s="351"/>
      <c r="J20" s="351"/>
    </row>
    <row r="21" spans="2:10" x14ac:dyDescent="0.3">
      <c r="B21" s="351"/>
      <c r="C21" s="351"/>
      <c r="D21" s="351"/>
      <c r="E21" s="351"/>
      <c r="F21" s="351"/>
      <c r="G21" s="351"/>
      <c r="H21" s="351"/>
      <c r="I21" s="351"/>
      <c r="J21" s="351"/>
    </row>
    <row r="22" spans="2:10" x14ac:dyDescent="0.3">
      <c r="B22" s="351"/>
      <c r="C22" s="351"/>
      <c r="D22" s="351"/>
      <c r="E22" s="351"/>
      <c r="F22" s="351"/>
      <c r="G22" s="351"/>
      <c r="H22" s="351"/>
      <c r="I22" s="351"/>
      <c r="J22" s="351"/>
    </row>
    <row r="23" spans="2:10" x14ac:dyDescent="0.3">
      <c r="B23" s="351"/>
      <c r="C23" s="351"/>
      <c r="D23" s="351"/>
      <c r="E23" s="351"/>
      <c r="F23" s="351"/>
      <c r="G23" s="351"/>
      <c r="H23" s="351"/>
      <c r="I23" s="351"/>
      <c r="J23" s="351"/>
    </row>
    <row r="24" spans="2:10" x14ac:dyDescent="0.3">
      <c r="B24" s="351"/>
      <c r="C24" s="351"/>
      <c r="D24" s="351"/>
      <c r="E24" s="351"/>
      <c r="F24" s="351"/>
      <c r="G24" s="351"/>
      <c r="H24" s="351"/>
      <c r="I24" s="351"/>
      <c r="J24" s="351"/>
    </row>
  </sheetData>
  <mergeCells count="1">
    <mergeCell ref="B9:J24"/>
  </mergeCells>
  <pageMargins left="0.70866141732283472" right="0.70866141732283472" top="0.74803149606299213" bottom="0.74803149606299213" header="0.31496062992125984" footer="0.31496062992125984"/>
  <pageSetup paperSize="9" scale="8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4" tint="0.79998168889431442"/>
  </sheetPr>
  <dimension ref="A1:AA65"/>
  <sheetViews>
    <sheetView view="pageBreakPreview" zoomScale="70" zoomScaleNormal="100" zoomScaleSheetLayoutView="70" workbookViewId="0">
      <pane xSplit="1" ySplit="7" topLeftCell="B8" activePane="bottomRight" state="frozen"/>
      <selection pane="topRight" activeCell="B1" sqref="B1"/>
      <selection pane="bottomLeft" activeCell="A8" sqref="A8"/>
      <selection pane="bottomRight" activeCell="L48" sqref="L48"/>
    </sheetView>
  </sheetViews>
  <sheetFormatPr defaultColWidth="8.88671875" defaultRowHeight="14.4" x14ac:dyDescent="0.3"/>
  <cols>
    <col min="1" max="1" width="73.88671875" style="13" bestFit="1" customWidth="1"/>
    <col min="2" max="2" width="11.44140625" style="13" bestFit="1" customWidth="1"/>
    <col min="3" max="3" width="11" style="13" bestFit="1" customWidth="1"/>
    <col min="4" max="11" width="11.44140625" style="13" bestFit="1" customWidth="1"/>
    <col min="12" max="12" width="11.6640625" style="13" bestFit="1" customWidth="1"/>
    <col min="13" max="13" width="11" style="13" bestFit="1" customWidth="1"/>
    <col min="14" max="16384" width="8.88671875" style="13"/>
  </cols>
  <sheetData>
    <row r="1" spans="1:27" ht="28.8" x14ac:dyDescent="0.55000000000000004">
      <c r="A1" s="349" t="str">
        <f>(Inputs!$E$9 &amp; " -Cash Flow (Reported)")</f>
        <v>Air Canada -Cash Flow (Reported)</v>
      </c>
      <c r="B1" s="349"/>
      <c r="C1" s="349"/>
      <c r="D1" s="349"/>
      <c r="E1" s="349"/>
      <c r="F1" s="349"/>
      <c r="G1" s="349"/>
      <c r="H1" s="349"/>
      <c r="I1" s="349"/>
      <c r="J1" s="349"/>
      <c r="K1" s="349"/>
      <c r="L1" s="349"/>
      <c r="M1" s="349"/>
    </row>
    <row r="2" spans="1:27" x14ac:dyDescent="0.3">
      <c r="A2" s="3"/>
      <c r="B2" s="3" t="s">
        <v>11</v>
      </c>
      <c r="C2" s="3" t="s">
        <v>11</v>
      </c>
      <c r="D2" s="3" t="s">
        <v>11</v>
      </c>
      <c r="E2" s="3" t="s">
        <v>11</v>
      </c>
      <c r="F2" s="3" t="s">
        <v>11</v>
      </c>
      <c r="G2" s="3" t="s">
        <v>11</v>
      </c>
      <c r="H2" s="3" t="s">
        <v>11</v>
      </c>
      <c r="I2" s="3" t="s">
        <v>11</v>
      </c>
      <c r="J2" s="3" t="s">
        <v>11</v>
      </c>
      <c r="K2" s="3" t="s">
        <v>11</v>
      </c>
      <c r="L2" s="3" t="s">
        <v>11</v>
      </c>
      <c r="M2" s="3" t="s">
        <v>268</v>
      </c>
      <c r="N2" s="16"/>
      <c r="O2" s="16"/>
      <c r="P2" s="16"/>
      <c r="Q2" s="16"/>
      <c r="R2" s="16"/>
      <c r="S2" s="16"/>
      <c r="T2" s="16"/>
      <c r="U2" s="16"/>
      <c r="V2" s="16"/>
      <c r="W2" s="16"/>
      <c r="X2" s="16"/>
      <c r="Y2" s="16"/>
      <c r="Z2" s="16"/>
      <c r="AA2" s="16"/>
    </row>
    <row r="3" spans="1:27" x14ac:dyDescent="0.3">
      <c r="A3" s="3"/>
      <c r="B3" s="7">
        <f>'Annual Operational Data'!B3</f>
        <v>40543</v>
      </c>
      <c r="C3" s="7">
        <f>'Annual Operational Data'!C3</f>
        <v>40908</v>
      </c>
      <c r="D3" s="7">
        <f>'Annual Operational Data'!D3</f>
        <v>41274</v>
      </c>
      <c r="E3" s="7">
        <f>'Annual Operational Data'!E3</f>
        <v>41639</v>
      </c>
      <c r="F3" s="7">
        <f>'Annual Operational Data'!F3</f>
        <v>42004</v>
      </c>
      <c r="G3" s="7">
        <f>'Annual Operational Data'!G3</f>
        <v>42369</v>
      </c>
      <c r="H3" s="7">
        <f>'Annual Operational Data'!H3</f>
        <v>42735</v>
      </c>
      <c r="I3" s="7">
        <f>'Annual Operational Data'!I3</f>
        <v>43100</v>
      </c>
      <c r="J3" s="7">
        <f>'Annual Operational Data'!J3</f>
        <v>43465</v>
      </c>
      <c r="K3" s="7">
        <f>'Annual Operational Data'!K3</f>
        <v>43830</v>
      </c>
      <c r="L3" s="7">
        <f>'Annual Operational Data'!L3</f>
        <v>44196</v>
      </c>
      <c r="M3" s="7">
        <f>'Annual Operational Data'!M3</f>
        <v>44469</v>
      </c>
      <c r="N3" s="16"/>
      <c r="O3" s="16"/>
      <c r="P3" s="16"/>
      <c r="Q3" s="16"/>
      <c r="R3" s="16"/>
      <c r="S3" s="16"/>
      <c r="T3" s="16"/>
      <c r="U3" s="16"/>
      <c r="V3" s="16"/>
      <c r="W3" s="16"/>
      <c r="X3" s="16"/>
      <c r="Y3" s="16"/>
      <c r="Z3" s="16"/>
      <c r="AA3" s="16"/>
    </row>
    <row r="4" spans="1:27" x14ac:dyDescent="0.3">
      <c r="A4" s="3"/>
      <c r="B4" s="66" t="s">
        <v>1</v>
      </c>
      <c r="C4" s="66" t="s">
        <v>1</v>
      </c>
      <c r="D4" s="66" t="s">
        <v>1</v>
      </c>
      <c r="E4" s="66" t="s">
        <v>1</v>
      </c>
      <c r="F4" s="66" t="s">
        <v>1</v>
      </c>
      <c r="G4" s="66" t="s">
        <v>1</v>
      </c>
      <c r="H4" s="3" t="s">
        <v>1</v>
      </c>
      <c r="I4" s="3" t="s">
        <v>1</v>
      </c>
      <c r="J4" s="3" t="s">
        <v>1</v>
      </c>
      <c r="K4" s="3" t="s">
        <v>1</v>
      </c>
      <c r="L4" s="3" t="s">
        <v>1</v>
      </c>
      <c r="M4" s="3" t="s">
        <v>1</v>
      </c>
      <c r="N4" s="16"/>
      <c r="O4" s="16"/>
      <c r="P4" s="16"/>
      <c r="Q4" s="16"/>
      <c r="R4" s="16"/>
      <c r="S4" s="16"/>
      <c r="T4" s="16"/>
      <c r="U4" s="16"/>
      <c r="V4" s="16"/>
      <c r="W4" s="16"/>
      <c r="X4" s="16"/>
      <c r="Y4" s="16"/>
      <c r="Z4" s="16"/>
      <c r="AA4" s="16"/>
    </row>
    <row r="5" spans="1:27" x14ac:dyDescent="0.3">
      <c r="A5" s="3"/>
      <c r="B5" s="66" t="str">
        <f>Inputs!$E$18&amp;"m"</f>
        <v>CADm</v>
      </c>
      <c r="C5" s="66" t="str">
        <f>Inputs!$E$18&amp;"m"</f>
        <v>CADm</v>
      </c>
      <c r="D5" s="66" t="str">
        <f>Inputs!$E$18&amp;"m"</f>
        <v>CADm</v>
      </c>
      <c r="E5" s="66" t="str">
        <f>Inputs!$E$18&amp;"m"</f>
        <v>CADm</v>
      </c>
      <c r="F5" s="66" t="str">
        <f>Inputs!$E$18&amp;"m"</f>
        <v>CADm</v>
      </c>
      <c r="G5" s="66" t="str">
        <f>Inputs!$E$18&amp;"m"</f>
        <v>CADm</v>
      </c>
      <c r="H5" s="66" t="str">
        <f>Inputs!$E$18&amp;"m"</f>
        <v>CADm</v>
      </c>
      <c r="I5" s="66" t="str">
        <f>Inputs!$E$18&amp;"m"</f>
        <v>CADm</v>
      </c>
      <c r="J5" s="66" t="str">
        <f>Inputs!$E$18&amp;"m"</f>
        <v>CADm</v>
      </c>
      <c r="K5" s="66" t="str">
        <f>Inputs!$E$18&amp;"m"</f>
        <v>CADm</v>
      </c>
      <c r="L5" s="66" t="str">
        <f>Inputs!$E$18&amp;"m"</f>
        <v>CADm</v>
      </c>
      <c r="M5" s="66" t="str">
        <f>Inputs!$E$18&amp;"m"</f>
        <v>CADm</v>
      </c>
      <c r="N5" s="16"/>
      <c r="O5" s="16"/>
      <c r="P5" s="16"/>
      <c r="Q5" s="16"/>
      <c r="R5" s="16"/>
      <c r="S5" s="16"/>
      <c r="T5" s="16"/>
      <c r="U5" s="16"/>
      <c r="V5" s="16"/>
      <c r="W5" s="16"/>
      <c r="X5" s="16"/>
      <c r="Y5" s="16"/>
      <c r="Z5" s="16"/>
      <c r="AA5" s="16"/>
    </row>
    <row r="6" spans="1:27" x14ac:dyDescent="0.3">
      <c r="A6" s="3"/>
      <c r="B6" s="3"/>
      <c r="C6" s="3"/>
      <c r="D6" s="3"/>
      <c r="E6" s="3"/>
      <c r="F6" s="3"/>
      <c r="G6" s="3"/>
      <c r="H6" s="3"/>
      <c r="I6" s="3"/>
      <c r="J6" s="3" t="s">
        <v>626</v>
      </c>
      <c r="K6" s="3"/>
      <c r="L6" s="3"/>
      <c r="M6" s="3"/>
      <c r="N6" s="16"/>
      <c r="O6" s="16"/>
      <c r="P6" s="16"/>
      <c r="Q6" s="16"/>
      <c r="R6" s="16"/>
      <c r="S6" s="16"/>
      <c r="T6" s="16"/>
      <c r="U6" s="16"/>
      <c r="V6" s="16"/>
      <c r="W6" s="16"/>
      <c r="X6" s="16"/>
      <c r="Y6" s="16"/>
      <c r="Z6" s="16"/>
      <c r="AA6" s="16"/>
    </row>
    <row r="7" spans="1:27" x14ac:dyDescent="0.3">
      <c r="A7" s="3"/>
      <c r="B7" s="20"/>
      <c r="C7" s="20"/>
      <c r="D7" s="20"/>
      <c r="E7" s="20"/>
      <c r="F7" s="20"/>
      <c r="G7" s="20"/>
      <c r="H7" s="20"/>
      <c r="I7" s="20"/>
      <c r="J7" s="20"/>
      <c r="K7" s="20"/>
      <c r="L7" s="20"/>
      <c r="M7" s="20"/>
      <c r="N7" s="16"/>
      <c r="O7" s="16"/>
      <c r="P7" s="16"/>
      <c r="Q7" s="16"/>
      <c r="R7" s="16"/>
      <c r="S7" s="16"/>
      <c r="T7" s="16"/>
      <c r="U7" s="16"/>
      <c r="V7" s="16"/>
      <c r="W7" s="16"/>
      <c r="X7" s="16"/>
      <c r="Y7" s="16"/>
      <c r="Z7" s="16"/>
      <c r="AA7" s="16"/>
    </row>
    <row r="8" spans="1:27" x14ac:dyDescent="0.3">
      <c r="A8" s="98" t="s">
        <v>480</v>
      </c>
      <c r="B8" s="38">
        <f>864-154</f>
        <v>710</v>
      </c>
      <c r="C8" s="38">
        <f>576-60</f>
        <v>516</v>
      </c>
      <c r="D8" s="38">
        <f>649-220</f>
        <v>429</v>
      </c>
      <c r="E8" s="38">
        <f>731-33-29</f>
        <v>669</v>
      </c>
      <c r="F8" s="38">
        <f>941-40-76</f>
        <v>825</v>
      </c>
      <c r="G8" s="38">
        <f>2025-191-42</f>
        <v>1792</v>
      </c>
      <c r="H8" s="38">
        <f>2421-194-148</f>
        <v>2079</v>
      </c>
      <c r="I8" s="38">
        <v>2738</v>
      </c>
      <c r="J8" s="38">
        <v>3470</v>
      </c>
      <c r="K8" s="38">
        <v>5712</v>
      </c>
      <c r="L8" s="38">
        <v>-2353</v>
      </c>
      <c r="M8" s="74">
        <f>SUMIFS('Interim Cash Flow Reported'!$B8:$XFD8,'Interim Cash Flow Reported'!$B$3:$XFD$3,"&lt;="&amp;'Annual Cash Flow Reported'!M$3,'Interim Cash Flow Reported'!$B$3:$XFD$3,"&gt;="&amp;('Annual Cash Flow Reported'!M$3-364))</f>
        <v>-3137</v>
      </c>
    </row>
    <row r="9" spans="1:27" x14ac:dyDescent="0.3">
      <c r="A9" s="31" t="s">
        <v>184</v>
      </c>
      <c r="B9" s="32"/>
      <c r="C9" s="32"/>
      <c r="D9" s="32"/>
      <c r="E9" s="32"/>
      <c r="F9" s="32"/>
      <c r="G9" s="32"/>
      <c r="H9" s="32"/>
      <c r="I9" s="32"/>
      <c r="J9" s="32"/>
      <c r="K9" s="32"/>
      <c r="L9" s="32"/>
      <c r="M9" s="58">
        <f>SUMIFS('Interim Cash Flow Reported'!$B9:$XFD9,'Interim Cash Flow Reported'!$B$3:$XFD$3,"&lt;="&amp;'Annual Cash Flow Reported'!M$3,'Interim Cash Flow Reported'!$B$3:$XFD$3,"&gt;="&amp;('Annual Cash Flow Reported'!M$3-364))</f>
        <v>0</v>
      </c>
    </row>
    <row r="10" spans="1:27" x14ac:dyDescent="0.3">
      <c r="A10" s="31" t="s">
        <v>185</v>
      </c>
      <c r="B10" s="32"/>
      <c r="C10" s="32"/>
      <c r="D10" s="32"/>
      <c r="E10" s="32"/>
      <c r="F10" s="32"/>
      <c r="G10" s="32"/>
      <c r="H10" s="32"/>
      <c r="I10" s="32"/>
      <c r="J10" s="32"/>
      <c r="K10" s="32"/>
      <c r="L10" s="32"/>
      <c r="M10" s="58">
        <f>SUMIFS('Interim Cash Flow Reported'!$B10:$XFD10,'Interim Cash Flow Reported'!$B$3:$XFD$3,"&lt;="&amp;'Annual Cash Flow Reported'!M$3,'Interim Cash Flow Reported'!$B$3:$XFD$3,"&gt;="&amp;('Annual Cash Flow Reported'!M$3-364))</f>
        <v>0</v>
      </c>
    </row>
    <row r="11" spans="1:27" x14ac:dyDescent="0.3">
      <c r="A11" s="31" t="s">
        <v>186</v>
      </c>
      <c r="B11" s="36"/>
      <c r="C11" s="36"/>
      <c r="D11" s="36"/>
      <c r="E11" s="36"/>
      <c r="F11" s="36"/>
      <c r="G11" s="36"/>
      <c r="H11" s="36"/>
      <c r="I11" s="36"/>
      <c r="J11" s="36"/>
      <c r="K11" s="36"/>
      <c r="L11" s="36"/>
      <c r="M11" s="60">
        <f>SUMIFS('Interim Cash Flow Reported'!$B11:$XFD11,'Interim Cash Flow Reported'!$B$3:$XFD$3,"&lt;="&amp;'Annual Cash Flow Reported'!M$3,'Interim Cash Flow Reported'!$B$3:$XFD$3,"&gt;="&amp;('Annual Cash Flow Reported'!M$3-364))</f>
        <v>732</v>
      </c>
    </row>
    <row r="12" spans="1:27" x14ac:dyDescent="0.3">
      <c r="A12" s="14" t="s">
        <v>187</v>
      </c>
      <c r="B12" s="23">
        <f>B9+B10+B11</f>
        <v>0</v>
      </c>
      <c r="C12" s="23">
        <f t="shared" ref="C12:H12" si="0">C9+C10+C11</f>
        <v>0</v>
      </c>
      <c r="D12" s="23">
        <f t="shared" si="0"/>
        <v>0</v>
      </c>
      <c r="E12" s="23">
        <f t="shared" si="0"/>
        <v>0</v>
      </c>
      <c r="F12" s="23">
        <f t="shared" si="0"/>
        <v>0</v>
      </c>
      <c r="G12" s="23">
        <f t="shared" si="0"/>
        <v>0</v>
      </c>
      <c r="H12" s="23">
        <f t="shared" si="0"/>
        <v>0</v>
      </c>
      <c r="I12" s="23">
        <f t="shared" ref="I12:J12" si="1">I9+I10+I11</f>
        <v>0</v>
      </c>
      <c r="J12" s="23">
        <f t="shared" si="1"/>
        <v>0</v>
      </c>
      <c r="K12" s="23">
        <f t="shared" ref="K12:L12" si="2">K9+K10+K11</f>
        <v>0</v>
      </c>
      <c r="L12" s="23">
        <f t="shared" si="2"/>
        <v>0</v>
      </c>
      <c r="M12" s="97">
        <f>SUM(M9:M11)</f>
        <v>732</v>
      </c>
    </row>
    <row r="13" spans="1:27" x14ac:dyDescent="0.3">
      <c r="A13" s="14" t="s">
        <v>188</v>
      </c>
      <c r="B13" s="22">
        <f t="shared" ref="B13:M13" si="3">B8+B12</f>
        <v>710</v>
      </c>
      <c r="C13" s="22">
        <f t="shared" si="3"/>
        <v>516</v>
      </c>
      <c r="D13" s="22">
        <f t="shared" si="3"/>
        <v>429</v>
      </c>
      <c r="E13" s="22">
        <f t="shared" si="3"/>
        <v>669</v>
      </c>
      <c r="F13" s="22">
        <f t="shared" si="3"/>
        <v>825</v>
      </c>
      <c r="G13" s="22">
        <f t="shared" si="3"/>
        <v>1792</v>
      </c>
      <c r="H13" s="22">
        <f t="shared" si="3"/>
        <v>2079</v>
      </c>
      <c r="I13" s="22">
        <f t="shared" ref="I13:J13" si="4">I8+I12</f>
        <v>2738</v>
      </c>
      <c r="J13" s="22">
        <f t="shared" si="4"/>
        <v>3470</v>
      </c>
      <c r="K13" s="22">
        <f t="shared" ref="K13:L13" si="5">K8+K12</f>
        <v>5712</v>
      </c>
      <c r="L13" s="22">
        <f t="shared" si="5"/>
        <v>-2353</v>
      </c>
      <c r="M13" s="74">
        <f t="shared" si="3"/>
        <v>-2405</v>
      </c>
    </row>
    <row r="14" spans="1:27" x14ac:dyDescent="0.3">
      <c r="A14" s="31" t="s">
        <v>189</v>
      </c>
      <c r="B14" s="32">
        <v>-118</v>
      </c>
      <c r="C14" s="32">
        <v>-220</v>
      </c>
      <c r="D14" s="32">
        <v>-462</v>
      </c>
      <c r="E14" s="32">
        <v>-962</v>
      </c>
      <c r="F14" s="32">
        <v>-1501</v>
      </c>
      <c r="G14" s="32">
        <v>-1815</v>
      </c>
      <c r="H14" s="32">
        <v>-2921</v>
      </c>
      <c r="I14" s="32">
        <v>-2422</v>
      </c>
      <c r="J14" s="32">
        <v>-2436</v>
      </c>
      <c r="K14" s="32">
        <v>-2025</v>
      </c>
      <c r="L14" s="32">
        <v>-1202</v>
      </c>
      <c r="M14" s="58">
        <f>SUMIFS('Interim Cash Flow Reported'!$B14:$XFD14,'Interim Cash Flow Reported'!$B$3:$XFD$3,"&lt;="&amp;'Annual Cash Flow Reported'!M$3,'Interim Cash Flow Reported'!$B$3:$XFD$3,"&gt;="&amp;('Annual Cash Flow Reported'!M$3-364))</f>
        <v>-1030</v>
      </c>
    </row>
    <row r="15" spans="1:27" x14ac:dyDescent="0.3">
      <c r="A15" s="31" t="s">
        <v>190</v>
      </c>
      <c r="B15" s="32">
        <v>29</v>
      </c>
      <c r="C15" s="32">
        <v>6</v>
      </c>
      <c r="D15" s="32">
        <v>50</v>
      </c>
      <c r="E15" s="32">
        <v>70</v>
      </c>
      <c r="F15" s="32">
        <v>72</v>
      </c>
      <c r="G15" s="32">
        <v>23</v>
      </c>
      <c r="H15" s="32">
        <v>352</v>
      </c>
      <c r="I15" s="32">
        <v>5</v>
      </c>
      <c r="J15" s="32">
        <f>11</f>
        <v>11</v>
      </c>
      <c r="K15" s="32">
        <f>24</f>
        <v>24</v>
      </c>
      <c r="L15" s="32">
        <v>12</v>
      </c>
      <c r="M15" s="58">
        <f>SUMIFS('Interim Cash Flow Reported'!$B15:$XFD15,'Interim Cash Flow Reported'!$B$3:$XFD$3,"&lt;="&amp;'Annual Cash Flow Reported'!M$3,'Interim Cash Flow Reported'!$B$3:$XFD$3,"&gt;="&amp;('Annual Cash Flow Reported'!M$3-364))</f>
        <v>22</v>
      </c>
    </row>
    <row r="16" spans="1:27" x14ac:dyDescent="0.3">
      <c r="A16" s="31" t="s">
        <v>191</v>
      </c>
      <c r="B16" s="32"/>
      <c r="C16" s="32"/>
      <c r="D16" s="32"/>
      <c r="E16" s="32"/>
      <c r="F16" s="32"/>
      <c r="G16" s="32"/>
      <c r="H16" s="32"/>
      <c r="I16" s="32"/>
      <c r="J16" s="32"/>
      <c r="K16" s="32"/>
      <c r="L16" s="32"/>
      <c r="M16" s="58">
        <f>SUMIFS('Interim Cash Flow Reported'!$B16:$XFD16,'Interim Cash Flow Reported'!$B$3:$XFD$3,"&lt;="&amp;'Annual Cash Flow Reported'!M$3,'Interim Cash Flow Reported'!$B$3:$XFD$3,"&gt;="&amp;('Annual Cash Flow Reported'!M$3-364))</f>
        <v>0</v>
      </c>
    </row>
    <row r="17" spans="1:13" x14ac:dyDescent="0.3">
      <c r="A17" s="31" t="s">
        <v>192</v>
      </c>
      <c r="B17" s="32"/>
      <c r="C17" s="32"/>
      <c r="D17" s="32"/>
      <c r="E17" s="32"/>
      <c r="F17" s="32"/>
      <c r="G17" s="32"/>
      <c r="H17" s="32"/>
      <c r="I17" s="32"/>
      <c r="J17" s="32"/>
      <c r="K17" s="32">
        <f>-517-97</f>
        <v>-614</v>
      </c>
      <c r="L17" s="32"/>
      <c r="M17" s="58">
        <f>SUMIFS('Interim Cash Flow Reported'!$B17:$XFD17,'Interim Cash Flow Reported'!$B$3:$XFD$3,"&lt;="&amp;'Annual Cash Flow Reported'!M$3,'Interim Cash Flow Reported'!$B$3:$XFD$3,"&gt;="&amp;('Annual Cash Flow Reported'!M$3-364))</f>
        <v>-296</v>
      </c>
    </row>
    <row r="18" spans="1:13" x14ac:dyDescent="0.3">
      <c r="A18" s="31" t="s">
        <v>193</v>
      </c>
      <c r="B18" s="32"/>
      <c r="C18" s="32"/>
      <c r="D18" s="32"/>
      <c r="E18" s="32"/>
      <c r="F18" s="32"/>
      <c r="G18" s="32"/>
      <c r="H18" s="32"/>
      <c r="I18" s="32"/>
      <c r="J18" s="32"/>
      <c r="K18" s="32"/>
      <c r="L18" s="32"/>
      <c r="M18" s="58">
        <f>SUMIFS('Interim Cash Flow Reported'!$B18:$XFD18,'Interim Cash Flow Reported'!$B$3:$XFD$3,"&lt;="&amp;'Annual Cash Flow Reported'!M$3,'Interim Cash Flow Reported'!$B$3:$XFD$3,"&gt;="&amp;('Annual Cash Flow Reported'!M$3-364))</f>
        <v>0</v>
      </c>
    </row>
    <row r="19" spans="1:13" x14ac:dyDescent="0.3">
      <c r="A19" s="31" t="s">
        <v>194</v>
      </c>
      <c r="B19" s="32">
        <v>-810</v>
      </c>
      <c r="C19" s="32">
        <v>-139</v>
      </c>
      <c r="D19" s="32">
        <v>-22</v>
      </c>
      <c r="E19" s="32">
        <v>-210</v>
      </c>
      <c r="F19" s="32">
        <v>-100</v>
      </c>
      <c r="G19" s="32">
        <v>-398</v>
      </c>
      <c r="H19" s="32">
        <v>-99</v>
      </c>
      <c r="I19" s="32">
        <v>-998</v>
      </c>
      <c r="J19" s="32">
        <v>-848</v>
      </c>
      <c r="K19" s="32">
        <v>-255</v>
      </c>
      <c r="L19" s="32">
        <v>-63</v>
      </c>
      <c r="M19" s="58">
        <f>SUMIFS('Interim Cash Flow Reported'!$B19:$XFD19,'Interim Cash Flow Reported'!$B$3:$XFD$3,"&lt;="&amp;'Annual Cash Flow Reported'!M$3,'Interim Cash Flow Reported'!$B$3:$XFD$3,"&gt;="&amp;('Annual Cash Flow Reported'!M$3-364))</f>
        <v>356</v>
      </c>
    </row>
    <row r="20" spans="1:13" x14ac:dyDescent="0.3">
      <c r="A20" s="31" t="s">
        <v>195</v>
      </c>
      <c r="B20" s="32"/>
      <c r="C20" s="32"/>
      <c r="D20" s="32"/>
      <c r="E20" s="32"/>
      <c r="F20" s="32"/>
      <c r="G20" s="32"/>
      <c r="H20" s="32"/>
      <c r="I20" s="32"/>
      <c r="J20" s="32"/>
      <c r="K20" s="32"/>
      <c r="L20" s="32"/>
      <c r="M20" s="58">
        <f>SUMIFS('Interim Cash Flow Reported'!$B20:$XFD20,'Interim Cash Flow Reported'!$B$3:$XFD$3,"&lt;="&amp;'Annual Cash Flow Reported'!M$3,'Interim Cash Flow Reported'!$B$3:$XFD$3,"&gt;="&amp;('Annual Cash Flow Reported'!M$3-364))</f>
        <v>0</v>
      </c>
    </row>
    <row r="21" spans="1:13" x14ac:dyDescent="0.3">
      <c r="A21" s="31" t="s">
        <v>196</v>
      </c>
      <c r="B21" s="36">
        <f>23-40</f>
        <v>-17</v>
      </c>
      <c r="C21" s="36">
        <v>-37</v>
      </c>
      <c r="D21" s="36">
        <f>32</f>
        <v>32</v>
      </c>
      <c r="E21" s="36">
        <v>41</v>
      </c>
      <c r="F21" s="36">
        <v>-3</v>
      </c>
      <c r="G21" s="36">
        <v>2</v>
      </c>
      <c r="H21" s="36">
        <v>-9</v>
      </c>
      <c r="I21" s="36">
        <v>-16</v>
      </c>
      <c r="J21" s="36">
        <v>47</v>
      </c>
      <c r="K21" s="36">
        <v>75</v>
      </c>
      <c r="L21" s="36">
        <v>35</v>
      </c>
      <c r="M21" s="60">
        <f>SUMIFS('Interim Cash Flow Reported'!$B21:$XFD21,'Interim Cash Flow Reported'!$B$3:$XFD$3,"&lt;="&amp;'Annual Cash Flow Reported'!M$3,'Interim Cash Flow Reported'!$B$3:$XFD$3,"&gt;="&amp;('Annual Cash Flow Reported'!M$3-364))</f>
        <v>9</v>
      </c>
    </row>
    <row r="22" spans="1:13" x14ac:dyDescent="0.3">
      <c r="A22" s="14" t="s">
        <v>197</v>
      </c>
      <c r="B22" s="22">
        <f t="shared" ref="B22:M22" si="6">SUM(B14:B21)</f>
        <v>-916</v>
      </c>
      <c r="C22" s="22">
        <f t="shared" si="6"/>
        <v>-390</v>
      </c>
      <c r="D22" s="22">
        <f t="shared" si="6"/>
        <v>-402</v>
      </c>
      <c r="E22" s="22">
        <f t="shared" si="6"/>
        <v>-1061</v>
      </c>
      <c r="F22" s="22">
        <f t="shared" si="6"/>
        <v>-1532</v>
      </c>
      <c r="G22" s="22">
        <f t="shared" si="6"/>
        <v>-2188</v>
      </c>
      <c r="H22" s="22">
        <f t="shared" si="6"/>
        <v>-2677</v>
      </c>
      <c r="I22" s="22">
        <f t="shared" ref="I22:K22" si="7">SUM(I14:I21)</f>
        <v>-3431</v>
      </c>
      <c r="J22" s="22">
        <f t="shared" si="7"/>
        <v>-3226</v>
      </c>
      <c r="K22" s="22">
        <f t="shared" si="7"/>
        <v>-2795</v>
      </c>
      <c r="L22" s="22">
        <f t="shared" ref="L22" si="8">SUM(L14:L21)</f>
        <v>-1218</v>
      </c>
      <c r="M22" s="74">
        <f t="shared" si="6"/>
        <v>-939</v>
      </c>
    </row>
    <row r="23" spans="1:13" x14ac:dyDescent="0.3">
      <c r="A23" s="31" t="s">
        <v>198</v>
      </c>
      <c r="B23" s="32">
        <v>2</v>
      </c>
      <c r="C23" s="32"/>
      <c r="D23" s="32"/>
      <c r="E23" s="32">
        <v>14</v>
      </c>
      <c r="F23" s="32">
        <v>1</v>
      </c>
      <c r="G23" s="32">
        <v>4</v>
      </c>
      <c r="H23" s="32">
        <v>2</v>
      </c>
      <c r="I23" s="32">
        <v>9</v>
      </c>
      <c r="J23" s="32">
        <v>5</v>
      </c>
      <c r="K23" s="32">
        <v>9</v>
      </c>
      <c r="L23" s="32">
        <v>1369</v>
      </c>
      <c r="M23" s="58">
        <f>SUMIFS('Interim Cash Flow Reported'!$B23:$XFD23,'Interim Cash Flow Reported'!$B$3:$XFD$3,"&lt;="&amp;'Annual Cash Flow Reported'!M$3,'Interim Cash Flow Reported'!$B$3:$XFD$3,"&gt;="&amp;('Annual Cash Flow Reported'!M$3-364))</f>
        <v>1369</v>
      </c>
    </row>
    <row r="24" spans="1:13" x14ac:dyDescent="0.3">
      <c r="A24" s="31" t="s">
        <v>199</v>
      </c>
      <c r="B24" s="32"/>
      <c r="C24" s="32"/>
      <c r="D24" s="32">
        <v>-5</v>
      </c>
      <c r="E24" s="32"/>
      <c r="F24" s="32"/>
      <c r="G24" s="32">
        <v>-63</v>
      </c>
      <c r="H24" s="32">
        <v>-94</v>
      </c>
      <c r="I24" s="32">
        <v>-71</v>
      </c>
      <c r="J24" s="32">
        <v>-73</v>
      </c>
      <c r="K24" s="32">
        <v>-373</v>
      </c>
      <c r="L24" s="32">
        <v>-132</v>
      </c>
      <c r="M24" s="58">
        <f>SUMIFS('Interim Cash Flow Reported'!$B24:$XFD24,'Interim Cash Flow Reported'!$B$3:$XFD$3,"&lt;="&amp;'Annual Cash Flow Reported'!M$3,'Interim Cash Flow Reported'!$B$3:$XFD$3,"&gt;="&amp;('Annual Cash Flow Reported'!M$3-364))</f>
        <v>0</v>
      </c>
    </row>
    <row r="25" spans="1:13" x14ac:dyDescent="0.3">
      <c r="A25" s="31" t="s">
        <v>200</v>
      </c>
      <c r="B25" s="32">
        <v>1175</v>
      </c>
      <c r="C25" s="32">
        <v>232</v>
      </c>
      <c r="D25" s="32">
        <v>126</v>
      </c>
      <c r="E25" s="32">
        <v>1973</v>
      </c>
      <c r="F25" s="32">
        <v>1178</v>
      </c>
      <c r="G25" s="32">
        <v>905</v>
      </c>
      <c r="H25" s="32">
        <v>2538</v>
      </c>
      <c r="I25" s="32">
        <v>733</v>
      </c>
      <c r="J25" s="32">
        <v>1210</v>
      </c>
      <c r="K25" s="32">
        <v>0</v>
      </c>
      <c r="L25" s="32">
        <f>6262-78</f>
        <v>6184</v>
      </c>
      <c r="M25" s="58">
        <f>SUMIFS('Interim Cash Flow Reported'!$B25:$XFD25,'Interim Cash Flow Reported'!$B$3:$XFD$3,"&lt;="&amp;'Annual Cash Flow Reported'!M$3,'Interim Cash Flow Reported'!$B$3:$XFD$3,"&gt;="&amp;('Annual Cash Flow Reported'!M$3-364))</f>
        <v>8203</v>
      </c>
    </row>
    <row r="26" spans="1:13" x14ac:dyDescent="0.3">
      <c r="A26" s="31" t="s">
        <v>201</v>
      </c>
      <c r="B26" s="32">
        <v>20</v>
      </c>
      <c r="C26" s="32"/>
      <c r="D26" s="32"/>
      <c r="E26" s="32"/>
      <c r="F26" s="32"/>
      <c r="G26" s="32"/>
      <c r="H26" s="32">
        <v>351</v>
      </c>
      <c r="I26" s="32">
        <v>740</v>
      </c>
      <c r="J26" s="32">
        <v>293</v>
      </c>
      <c r="K26" s="32"/>
      <c r="L26" s="32">
        <v>485</v>
      </c>
      <c r="M26" s="58">
        <f>SUMIFS('Interim Cash Flow Reported'!$B26:$XFD26,'Interim Cash Flow Reported'!$B$3:$XFD$3,"&lt;="&amp;'Annual Cash Flow Reported'!M$3,'Interim Cash Flow Reported'!$B$3:$XFD$3,"&gt;="&amp;('Annual Cash Flow Reported'!M$3-364))</f>
        <v>496</v>
      </c>
    </row>
    <row r="27" spans="1:13" x14ac:dyDescent="0.3">
      <c r="A27" s="31" t="s">
        <v>202</v>
      </c>
      <c r="B27" s="32">
        <v>-1135</v>
      </c>
      <c r="C27" s="32">
        <v>-608</v>
      </c>
      <c r="D27" s="32">
        <v>-442</v>
      </c>
      <c r="E27" s="32">
        <v>-1646</v>
      </c>
      <c r="F27" s="32">
        <v>-677</v>
      </c>
      <c r="G27" s="32">
        <v>-707</v>
      </c>
      <c r="H27" s="32">
        <v>-2275</v>
      </c>
      <c r="I27" s="32">
        <v>-814</v>
      </c>
      <c r="J27" s="32">
        <v>-1706</v>
      </c>
      <c r="K27" s="32">
        <v>-1084</v>
      </c>
      <c r="L27" s="32">
        <v>-2719</v>
      </c>
      <c r="M27" s="58">
        <f>SUMIFS('Interim Cash Flow Reported'!$B27:$XFD27,'Interim Cash Flow Reported'!$B$3:$XFD$3,"&lt;="&amp;'Annual Cash Flow Reported'!M$3,'Interim Cash Flow Reported'!$B$3:$XFD$3,"&gt;="&amp;('Annual Cash Flow Reported'!M$3-364))</f>
        <v>-4742</v>
      </c>
    </row>
    <row r="28" spans="1:13" x14ac:dyDescent="0.3">
      <c r="A28" s="85" t="s">
        <v>411</v>
      </c>
      <c r="B28" s="32"/>
      <c r="C28" s="32"/>
      <c r="D28" s="32"/>
      <c r="E28" s="32"/>
      <c r="F28" s="32"/>
      <c r="G28" s="32"/>
      <c r="H28" s="32"/>
      <c r="I28" s="32"/>
      <c r="J28" s="32"/>
      <c r="K28" s="32"/>
      <c r="L28" s="32"/>
      <c r="M28" s="58">
        <f>SUMIFS('Interim Cash Flow Reported'!$B28:$XFD28,'Interim Cash Flow Reported'!$B$3:$XFD$3,"&lt;="&amp;'Annual Cash Flow Reported'!M$3,'Interim Cash Flow Reported'!$B$3:$XFD$3,"&gt;="&amp;('Annual Cash Flow Reported'!M$3-364))</f>
        <v>-266</v>
      </c>
    </row>
    <row r="29" spans="1:13" x14ac:dyDescent="0.3">
      <c r="A29" s="31" t="s">
        <v>203</v>
      </c>
      <c r="B29" s="32"/>
      <c r="C29" s="32"/>
      <c r="D29" s="32"/>
      <c r="E29" s="32"/>
      <c r="F29" s="32"/>
      <c r="G29" s="32"/>
      <c r="H29" s="32"/>
      <c r="I29" s="32"/>
      <c r="J29" s="32"/>
      <c r="K29" s="32"/>
      <c r="L29" s="32"/>
      <c r="M29" s="58">
        <f>SUMIFS('Interim Cash Flow Reported'!$B29:$XFD29,'Interim Cash Flow Reported'!$B$3:$XFD$3,"&lt;="&amp;'Annual Cash Flow Reported'!M$3,'Interim Cash Flow Reported'!$B$3:$XFD$3,"&gt;="&amp;('Annual Cash Flow Reported'!M$3-364))</f>
        <v>0</v>
      </c>
    </row>
    <row r="30" spans="1:13" x14ac:dyDescent="0.3">
      <c r="A30" s="31" t="s">
        <v>204</v>
      </c>
      <c r="B30" s="32"/>
      <c r="C30" s="32"/>
      <c r="D30" s="32"/>
      <c r="E30" s="32"/>
      <c r="F30" s="32"/>
      <c r="G30" s="32"/>
      <c r="H30" s="32"/>
      <c r="I30" s="32"/>
      <c r="J30" s="32"/>
      <c r="K30" s="32"/>
      <c r="L30" s="32"/>
      <c r="M30" s="58">
        <f>SUMIFS('Interim Cash Flow Reported'!$B30:$XFD30,'Interim Cash Flow Reported'!$B$3:$XFD$3,"&lt;="&amp;'Annual Cash Flow Reported'!M$3,'Interim Cash Flow Reported'!$B$3:$XFD$3,"&gt;="&amp;('Annual Cash Flow Reported'!M$3-364))</f>
        <v>0</v>
      </c>
    </row>
    <row r="31" spans="1:13" x14ac:dyDescent="0.3">
      <c r="A31" s="31" t="s">
        <v>205</v>
      </c>
      <c r="B31" s="32"/>
      <c r="C31" s="32"/>
      <c r="D31" s="32"/>
      <c r="E31" s="32"/>
      <c r="F31" s="32"/>
      <c r="G31" s="32"/>
      <c r="H31" s="32"/>
      <c r="I31" s="32"/>
      <c r="J31" s="32"/>
      <c r="K31" s="32"/>
      <c r="L31" s="32"/>
      <c r="M31" s="58">
        <f>SUMIFS('Interim Cash Flow Reported'!$B31:$XFD31,'Interim Cash Flow Reported'!$B$3:$XFD$3,"&lt;="&amp;'Annual Cash Flow Reported'!M$3,'Interim Cash Flow Reported'!$B$3:$XFD$3,"&gt;="&amp;('Annual Cash Flow Reported'!M$3-364))</f>
        <v>0</v>
      </c>
    </row>
    <row r="32" spans="1:13" x14ac:dyDescent="0.3">
      <c r="A32" s="31" t="s">
        <v>206</v>
      </c>
      <c r="B32" s="32"/>
      <c r="C32" s="32"/>
      <c r="D32" s="32"/>
      <c r="E32" s="32"/>
      <c r="F32" s="32"/>
      <c r="G32" s="32"/>
      <c r="H32" s="32"/>
      <c r="I32" s="32"/>
      <c r="J32" s="32"/>
      <c r="K32" s="32"/>
      <c r="L32" s="32"/>
      <c r="M32" s="58">
        <f>SUMIFS('Interim Cash Flow Reported'!$B32:$XFD32,'Interim Cash Flow Reported'!$B$3:$XFD$3,"&lt;="&amp;'Annual Cash Flow Reported'!M$3,'Interim Cash Flow Reported'!$B$3:$XFD$3,"&gt;="&amp;('Annual Cash Flow Reported'!M$3-364))</f>
        <v>0</v>
      </c>
    </row>
    <row r="33" spans="1:13" x14ac:dyDescent="0.3">
      <c r="A33" s="31" t="s">
        <v>207</v>
      </c>
      <c r="B33" s="36">
        <v>-35</v>
      </c>
      <c r="C33" s="36">
        <v>-52</v>
      </c>
      <c r="D33" s="36">
        <v>-16</v>
      </c>
      <c r="E33" s="36">
        <v>-15</v>
      </c>
      <c r="F33" s="36"/>
      <c r="G33" s="36">
        <f>-32-51</f>
        <v>-83</v>
      </c>
      <c r="H33" s="36">
        <f>-2-32</f>
        <v>-34</v>
      </c>
      <c r="I33" s="36">
        <v>-26</v>
      </c>
      <c r="J33" s="36">
        <v>-12</v>
      </c>
      <c r="K33" s="36">
        <v>-1</v>
      </c>
      <c r="L33" s="36"/>
      <c r="M33" s="60">
        <f>SUMIFS('Interim Cash Flow Reported'!$B33:$XFD33,'Interim Cash Flow Reported'!$B$3:$XFD$3,"&lt;="&amp;'Annual Cash Flow Reported'!M$3,'Interim Cash Flow Reported'!$B$3:$XFD$3,"&gt;="&amp;('Annual Cash Flow Reported'!M$3-364))</f>
        <v>-249</v>
      </c>
    </row>
    <row r="34" spans="1:13" x14ac:dyDescent="0.3">
      <c r="A34" s="14" t="s">
        <v>208</v>
      </c>
      <c r="B34" s="22">
        <f t="shared" ref="B34:M34" si="9">SUM(B23:B33)</f>
        <v>27</v>
      </c>
      <c r="C34" s="22">
        <f t="shared" si="9"/>
        <v>-428</v>
      </c>
      <c r="D34" s="22">
        <f t="shared" si="9"/>
        <v>-337</v>
      </c>
      <c r="E34" s="22">
        <f t="shared" si="9"/>
        <v>326</v>
      </c>
      <c r="F34" s="22">
        <f t="shared" si="9"/>
        <v>502</v>
      </c>
      <c r="G34" s="22">
        <f t="shared" si="9"/>
        <v>56</v>
      </c>
      <c r="H34" s="22">
        <f t="shared" si="9"/>
        <v>488</v>
      </c>
      <c r="I34" s="22">
        <f t="shared" ref="I34:J34" si="10">SUM(I23:I33)</f>
        <v>571</v>
      </c>
      <c r="J34" s="22">
        <f t="shared" si="10"/>
        <v>-283</v>
      </c>
      <c r="K34" s="22">
        <f t="shared" ref="K34:L34" si="11">SUM(K23:K33)</f>
        <v>-1449</v>
      </c>
      <c r="L34" s="22">
        <f t="shared" si="11"/>
        <v>5187</v>
      </c>
      <c r="M34" s="74">
        <f t="shared" si="9"/>
        <v>4811</v>
      </c>
    </row>
    <row r="35" spans="1:13" ht="15" thickBot="1" x14ac:dyDescent="0.35">
      <c r="A35" s="14" t="s">
        <v>209</v>
      </c>
      <c r="B35" s="24">
        <f t="shared" ref="B35:M35" si="12">B13+B22+B34</f>
        <v>-179</v>
      </c>
      <c r="C35" s="24">
        <f t="shared" si="12"/>
        <v>-302</v>
      </c>
      <c r="D35" s="24">
        <f t="shared" si="12"/>
        <v>-310</v>
      </c>
      <c r="E35" s="24">
        <f t="shared" si="12"/>
        <v>-66</v>
      </c>
      <c r="F35" s="24">
        <f t="shared" si="12"/>
        <v>-205</v>
      </c>
      <c r="G35" s="24">
        <f t="shared" si="12"/>
        <v>-340</v>
      </c>
      <c r="H35" s="24">
        <f t="shared" si="12"/>
        <v>-110</v>
      </c>
      <c r="I35" s="24">
        <f t="shared" ref="I35:J35" si="13">I13+I22+I34</f>
        <v>-122</v>
      </c>
      <c r="J35" s="24">
        <f t="shared" si="13"/>
        <v>-39</v>
      </c>
      <c r="K35" s="24">
        <f t="shared" ref="K35:L35" si="14">K13+K22+K34</f>
        <v>1468</v>
      </c>
      <c r="L35" s="24">
        <f t="shared" si="14"/>
        <v>1616</v>
      </c>
      <c r="M35" s="76">
        <f t="shared" si="12"/>
        <v>1467</v>
      </c>
    </row>
    <row r="36" spans="1:13" ht="15" thickTop="1" x14ac:dyDescent="0.3">
      <c r="A36" s="31" t="s">
        <v>210</v>
      </c>
      <c r="B36" s="32">
        <v>0</v>
      </c>
      <c r="C36" s="32"/>
      <c r="D36" s="32"/>
      <c r="E36" s="32"/>
      <c r="F36" s="32"/>
      <c r="G36" s="32">
        <v>18</v>
      </c>
      <c r="H36" s="32">
        <v>-17</v>
      </c>
      <c r="I36" s="32">
        <v>-23</v>
      </c>
      <c r="J36" s="32">
        <v>27</v>
      </c>
      <c r="K36" s="32">
        <v>-8</v>
      </c>
      <c r="L36" s="32">
        <v>-48</v>
      </c>
      <c r="M36" s="58">
        <f>SUMIFS('Interim Cash Flow Reported'!$B36:$XFD36,'Interim Cash Flow Reported'!$B$3:$XFD$3,"&lt;="&amp;'Annual Cash Flow Reported'!M$3,'Interim Cash Flow Reported'!$B$3:$XFD$3,"&gt;="&amp;('Annual Cash Flow Reported'!M$3-364))</f>
        <v>-37</v>
      </c>
    </row>
    <row r="37" spans="1:13" x14ac:dyDescent="0.3">
      <c r="A37" s="14" t="s">
        <v>211</v>
      </c>
      <c r="B37" s="38">
        <f>C37-B35-B36</f>
        <v>1269</v>
      </c>
      <c r="C37" s="38">
        <f>'Balance Sheet Reported'!B25</f>
        <v>1090</v>
      </c>
      <c r="D37" s="38">
        <f>'Balance Sheet Reported'!C25</f>
        <v>848</v>
      </c>
      <c r="E37" s="38">
        <f>'Balance Sheet Reported'!D25</f>
        <v>758</v>
      </c>
      <c r="F37" s="38">
        <f>'Balance Sheet Reported'!E25</f>
        <v>750</v>
      </c>
      <c r="G37" s="38">
        <f>'Balance Sheet Reported'!F25</f>
        <v>661</v>
      </c>
      <c r="H37" s="38">
        <f>'Balance Sheet Reported'!G25</f>
        <v>572</v>
      </c>
      <c r="I37" s="38">
        <f>'Balance Sheet Reported'!H25</f>
        <v>787</v>
      </c>
      <c r="J37" s="38">
        <f>'Balance Sheet Reported'!I25</f>
        <v>642</v>
      </c>
      <c r="K37" s="38">
        <f>J38</f>
        <v>630</v>
      </c>
      <c r="L37" s="38">
        <f>K38</f>
        <v>2090</v>
      </c>
      <c r="M37" s="74">
        <v>1582</v>
      </c>
    </row>
    <row r="38" spans="1:13" x14ac:dyDescent="0.3">
      <c r="A38" s="14" t="s">
        <v>212</v>
      </c>
      <c r="B38" s="22">
        <f t="shared" ref="B38:M38" si="15">B35+B36+B37</f>
        <v>1090</v>
      </c>
      <c r="C38" s="22">
        <f t="shared" si="15"/>
        <v>788</v>
      </c>
      <c r="D38" s="22">
        <f t="shared" si="15"/>
        <v>538</v>
      </c>
      <c r="E38" s="22">
        <f t="shared" si="15"/>
        <v>692</v>
      </c>
      <c r="F38" s="22">
        <f t="shared" si="15"/>
        <v>545</v>
      </c>
      <c r="G38" s="22">
        <f t="shared" si="15"/>
        <v>339</v>
      </c>
      <c r="H38" s="22">
        <f t="shared" si="15"/>
        <v>445</v>
      </c>
      <c r="I38" s="22">
        <f t="shared" ref="I38:J38" si="16">I35+I36+I37</f>
        <v>642</v>
      </c>
      <c r="J38" s="22">
        <f t="shared" si="16"/>
        <v>630</v>
      </c>
      <c r="K38" s="22">
        <f t="shared" ref="K38:L38" si="17">K35+K36+K37</f>
        <v>2090</v>
      </c>
      <c r="L38" s="22">
        <f t="shared" si="17"/>
        <v>3658</v>
      </c>
      <c r="M38" s="22">
        <f t="shared" si="15"/>
        <v>3012</v>
      </c>
    </row>
    <row r="39" spans="1:13" x14ac:dyDescent="0.3">
      <c r="A39" s="8" t="s">
        <v>213</v>
      </c>
      <c r="B39" s="37"/>
      <c r="C39" s="37"/>
      <c r="D39" s="37"/>
      <c r="E39" s="37"/>
      <c r="F39" s="37"/>
      <c r="G39" s="37"/>
      <c r="H39" s="37"/>
      <c r="I39" s="37"/>
      <c r="J39" s="37"/>
      <c r="K39" s="37"/>
      <c r="L39" s="37"/>
      <c r="M39" s="10"/>
    </row>
    <row r="40" spans="1:13" x14ac:dyDescent="0.3">
      <c r="A40" s="31" t="s">
        <v>291</v>
      </c>
      <c r="B40" s="21">
        <f>B13+B14+B15</f>
        <v>621</v>
      </c>
      <c r="C40" s="21">
        <f t="shared" ref="C40:H40" si="18">C13+C14+C15</f>
        <v>302</v>
      </c>
      <c r="D40" s="21">
        <f t="shared" si="18"/>
        <v>17</v>
      </c>
      <c r="E40" s="21">
        <f t="shared" si="18"/>
        <v>-223</v>
      </c>
      <c r="F40" s="21">
        <f t="shared" si="18"/>
        <v>-604</v>
      </c>
      <c r="G40" s="21">
        <f t="shared" si="18"/>
        <v>0</v>
      </c>
      <c r="H40" s="21">
        <f t="shared" si="18"/>
        <v>-490</v>
      </c>
      <c r="I40" s="21">
        <f t="shared" ref="I40:J40" si="19">I13+I14+I15</f>
        <v>321</v>
      </c>
      <c r="J40" s="21">
        <f t="shared" si="19"/>
        <v>1045</v>
      </c>
      <c r="K40" s="21">
        <f t="shared" ref="K40:L40" si="20">K13+K14+K15</f>
        <v>3711</v>
      </c>
      <c r="L40" s="21">
        <f t="shared" si="20"/>
        <v>-3543</v>
      </c>
      <c r="M40" s="21">
        <f>M13+M14+M15</f>
        <v>-3413</v>
      </c>
    </row>
    <row r="41" spans="1:13" x14ac:dyDescent="0.3">
      <c r="A41" s="31" t="s">
        <v>214</v>
      </c>
      <c r="B41" s="21">
        <f>B40+B31</f>
        <v>621</v>
      </c>
      <c r="C41" s="21">
        <f t="shared" ref="C41:M41" si="21">C40+C31</f>
        <v>302</v>
      </c>
      <c r="D41" s="21">
        <f t="shared" si="21"/>
        <v>17</v>
      </c>
      <c r="E41" s="21">
        <f t="shared" si="21"/>
        <v>-223</v>
      </c>
      <c r="F41" s="21">
        <f t="shared" si="21"/>
        <v>-604</v>
      </c>
      <c r="G41" s="21">
        <f t="shared" si="21"/>
        <v>0</v>
      </c>
      <c r="H41" s="21">
        <f t="shared" si="21"/>
        <v>-490</v>
      </c>
      <c r="I41" s="21">
        <f t="shared" ref="I41:J41" si="22">I40+I31</f>
        <v>321</v>
      </c>
      <c r="J41" s="21">
        <f t="shared" si="22"/>
        <v>1045</v>
      </c>
      <c r="K41" s="21">
        <f t="shared" ref="K41:L41" si="23">K40+K31</f>
        <v>3711</v>
      </c>
      <c r="L41" s="21">
        <f t="shared" si="23"/>
        <v>-3543</v>
      </c>
      <c r="M41" s="21">
        <f t="shared" si="21"/>
        <v>-3413</v>
      </c>
    </row>
    <row r="42" spans="1:13" x14ac:dyDescent="0.3">
      <c r="A42" s="8" t="s">
        <v>215</v>
      </c>
      <c r="B42" s="10"/>
      <c r="C42" s="10"/>
      <c r="D42" s="10"/>
      <c r="E42" s="10"/>
      <c r="F42" s="10"/>
      <c r="G42" s="10"/>
      <c r="H42" s="10"/>
      <c r="I42" s="10"/>
      <c r="J42" s="10"/>
      <c r="K42" s="10"/>
      <c r="L42" s="10"/>
      <c r="M42" s="10"/>
    </row>
    <row r="43" spans="1:13" x14ac:dyDescent="0.3">
      <c r="A43" s="31" t="s">
        <v>216</v>
      </c>
      <c r="B43" s="2">
        <f>IFERROR(B8/-(B14+B15),"")</f>
        <v>7.9775280898876408</v>
      </c>
      <c r="C43" s="2">
        <f t="shared" ref="C43:H43" si="24">IFERROR(C8/-(C14+C15),"")</f>
        <v>2.4112149532710281</v>
      </c>
      <c r="D43" s="2">
        <f t="shared" si="24"/>
        <v>1.0412621359223302</v>
      </c>
      <c r="E43" s="2">
        <f t="shared" si="24"/>
        <v>0.75</v>
      </c>
      <c r="F43" s="2">
        <f t="shared" si="24"/>
        <v>0.57732680195941222</v>
      </c>
      <c r="G43" s="2">
        <f t="shared" si="24"/>
        <v>1</v>
      </c>
      <c r="H43" s="2">
        <f t="shared" si="24"/>
        <v>0.80926430517711168</v>
      </c>
      <c r="I43" s="2">
        <f t="shared" ref="I43:J43" si="25">IFERROR(I8/-(I14+I15),"")</f>
        <v>1.1328092676872155</v>
      </c>
      <c r="J43" s="2">
        <f t="shared" si="25"/>
        <v>1.4309278350515464</v>
      </c>
      <c r="K43" s="2">
        <f t="shared" ref="K43:L43" si="26">IFERROR(K8/-(K14+K15),"")</f>
        <v>2.8545727136431784</v>
      </c>
      <c r="L43" s="2">
        <f t="shared" si="26"/>
        <v>-1.977310924369748</v>
      </c>
      <c r="M43" s="2">
        <f>IFERROR(M8/-(M14+M15),"")</f>
        <v>-3.1121031746031744</v>
      </c>
    </row>
    <row r="44" spans="1:13" x14ac:dyDescent="0.3">
      <c r="A44" s="31" t="s">
        <v>217</v>
      </c>
      <c r="B44" s="2">
        <f>IFERROR(B13/-(B14+B15),"")</f>
        <v>7.9775280898876408</v>
      </c>
      <c r="C44" s="2">
        <f t="shared" ref="C44:H44" si="27">IFERROR(C13/-(C14+C15),"")</f>
        <v>2.4112149532710281</v>
      </c>
      <c r="D44" s="2">
        <f t="shared" si="27"/>
        <v>1.0412621359223302</v>
      </c>
      <c r="E44" s="2">
        <f t="shared" si="27"/>
        <v>0.75</v>
      </c>
      <c r="F44" s="2">
        <f t="shared" si="27"/>
        <v>0.57732680195941222</v>
      </c>
      <c r="G44" s="2">
        <f t="shared" si="27"/>
        <v>1</v>
      </c>
      <c r="H44" s="2">
        <f t="shared" si="27"/>
        <v>0.80926430517711168</v>
      </c>
      <c r="I44" s="2">
        <f t="shared" ref="I44:J44" si="28">IFERROR(I13/-(I14+I15),"")</f>
        <v>1.1328092676872155</v>
      </c>
      <c r="J44" s="2">
        <f t="shared" si="28"/>
        <v>1.4309278350515464</v>
      </c>
      <c r="K44" s="2">
        <f t="shared" ref="K44:L44" si="29">IFERROR(K13/-(K14+K15),"")</f>
        <v>2.8545727136431784</v>
      </c>
      <c r="L44" s="2">
        <f t="shared" si="29"/>
        <v>-1.977310924369748</v>
      </c>
      <c r="M44" s="2">
        <f>IFERROR(M13/-(M14+M15),"")</f>
        <v>-2.3859126984126986</v>
      </c>
    </row>
    <row r="45" spans="1:13" x14ac:dyDescent="0.3">
      <c r="A45" s="31" t="s">
        <v>218</v>
      </c>
      <c r="B45" s="46">
        <f>IFERROR('Balance Sheet Reported'!B70/'Annual Cash Flow Reported'!B8,"")</f>
        <v>6.2774647887323942</v>
      </c>
      <c r="C45" s="46">
        <f>IFERROR('Balance Sheet Reported'!C70/'Annual Cash Flow Reported'!C8,"")</f>
        <v>8.3914728682170541</v>
      </c>
      <c r="D45" s="46">
        <f>IFERROR('Balance Sheet Reported'!D70/'Annual Cash Flow Reported'!D8,"")</f>
        <v>9.2191142191142195</v>
      </c>
      <c r="E45" s="46">
        <f>IFERROR('Balance Sheet Reported'!E70/'Annual Cash Flow Reported'!E8,"")</f>
        <v>6.4768310911808671</v>
      </c>
      <c r="F45" s="46">
        <f>IFERROR('Balance Sheet Reported'!F70/'Annual Cash Flow Reported'!F8,"")</f>
        <v>6.3224242424242423</v>
      </c>
      <c r="G45" s="46">
        <f>IFERROR('Balance Sheet Reported'!G70/'Annual Cash Flow Reported'!G8,"")</f>
        <v>3.5680803571428572</v>
      </c>
      <c r="H45" s="46">
        <f>IFERROR('Balance Sheet Reported'!H70/'Annual Cash Flow Reported'!H8,"")</f>
        <v>3.1832611832611835</v>
      </c>
      <c r="I45" s="46">
        <f>IFERROR('Balance Sheet Reported'!I70/'Annual Cash Flow Reported'!I8,"")</f>
        <v>2.2348429510591674</v>
      </c>
      <c r="J45" s="46">
        <f>IFERROR('Balance Sheet Reported'!J70/'Annual Cash Flow Reported'!J8,"")</f>
        <v>2.8590778097982708</v>
      </c>
      <c r="K45" s="46">
        <f>IFERROR('Balance Sheet Reported'!K70/'Annual Cash Flow Reported'!K8,"")</f>
        <v>1.6179971988795518</v>
      </c>
      <c r="L45" s="46">
        <f>IFERROR('Balance Sheet Reported'!L70/'Annual Cash Flow Reported'!L8,"")</f>
        <v>-5.5201869953251173</v>
      </c>
      <c r="M45" s="46">
        <f>IFERROR('Balance Sheet Reported'!M70/'Annual Cash Flow Reported'!M8,"")</f>
        <v>-5.3178195728402935</v>
      </c>
    </row>
    <row r="46" spans="1:13" x14ac:dyDescent="0.3">
      <c r="A46" s="31" t="s">
        <v>219</v>
      </c>
      <c r="B46" s="46">
        <f>IFERROR(B8/-'Annual Inc Statement Reported'!B90,"")</f>
        <v>1.8832891246684351</v>
      </c>
      <c r="C46" s="46">
        <f>IFERROR(C8/-'Annual Inc Statement Reported'!C90,"")</f>
        <v>1.6329113924050633</v>
      </c>
      <c r="D46" s="46">
        <f>IFERROR(D8/-'Annual Inc Statement Reported'!D90,"")</f>
        <v>1.5</v>
      </c>
      <c r="E46" s="46">
        <f>IFERROR(E8/-'Annual Inc Statement Reported'!E90,"")</f>
        <v>1.9059829059829059</v>
      </c>
      <c r="F46" s="46">
        <f>IFERROR(F8/-'Annual Inc Statement Reported'!F90,"")</f>
        <v>2.8253424657534247</v>
      </c>
      <c r="G46" s="46">
        <f>IFERROR(G8/-'Annual Inc Statement Reported'!G90,"")</f>
        <v>5.6175548589341693</v>
      </c>
      <c r="H46" s="46">
        <f>IFERROR(H8/-'Annual Inc Statement Reported'!H90,"")</f>
        <v>6.5791139240506329</v>
      </c>
      <c r="I46" s="46">
        <f>IFERROR(I8/-'Annual Inc Statement Reported'!I90,"")</f>
        <v>9.956363636363637</v>
      </c>
      <c r="J46" s="46">
        <f>IFERROR(J8/-'Annual Inc Statement Reported'!J90,"")</f>
        <v>6.522556390977444</v>
      </c>
      <c r="K46" s="46">
        <f>IFERROR(K8/-'Annual Inc Statement Reported'!K90,"")</f>
        <v>11.9</v>
      </c>
      <c r="L46" s="46">
        <f>IFERROR(L8/-'Annual Inc Statement Reported'!L90,"")</f>
        <v>-3.586890243902439</v>
      </c>
      <c r="M46" s="46">
        <f>IFERROR(M8/-'Annual Inc Statement Reported'!M90,"")</f>
        <v>-4.3509015256588075</v>
      </c>
    </row>
    <row r="47" spans="1:13" x14ac:dyDescent="0.3">
      <c r="A47" s="31" t="s">
        <v>220</v>
      </c>
      <c r="B47" s="2">
        <f>IFERROR(B8 / 'Balance Sheet Reported'!B75,"")</f>
        <v>0.15148282483464903</v>
      </c>
      <c r="C47" s="2">
        <f>IFERROR(C8 / 'Balance Sheet Reported'!C75,"")</f>
        <v>0.11276223776223776</v>
      </c>
      <c r="D47" s="2">
        <f>IFERROR(D8 / 'Balance Sheet Reported'!D75,"")</f>
        <v>0.10021023125437982</v>
      </c>
      <c r="E47" s="2">
        <f>IFERROR(E8 / 'Balance Sheet Reported'!E75,"")</f>
        <v>0.15375775683750861</v>
      </c>
      <c r="F47" s="2">
        <f>IFERROR(F8 / 'Balance Sheet Reported'!F75,"")</f>
        <v>0.1607560405300078</v>
      </c>
      <c r="G47" s="2">
        <f>IFERROR(G8 / 'Balance Sheet Reported'!G75,"")</f>
        <v>0.28935895365735509</v>
      </c>
      <c r="H47" s="2">
        <f>IFERROR(H8 / 'Balance Sheet Reported'!H75,"")</f>
        <v>0.30248799650807506</v>
      </c>
      <c r="I47" s="2">
        <f>IFERROR(I8 / 'Balance Sheet Reported'!I75,"")</f>
        <v>0.46915695681973957</v>
      </c>
      <c r="J47" s="2">
        <f>IFERROR(J8 / 'Balance Sheet Reported'!J75,"")</f>
        <v>0.66551591868047566</v>
      </c>
      <c r="K47" s="2">
        <f>IFERROR(K8 / 'Balance Sheet Reported'!K75,"")</f>
        <v>1.7035490605427974</v>
      </c>
      <c r="L47" s="2">
        <f>IFERROR(L8 / 'Balance Sheet Reported'!L75,"")</f>
        <v>-0.42875364431486879</v>
      </c>
      <c r="M47" s="2">
        <f>IFERROR(M8 / 'Balance Sheet Reported'!M75,"")</f>
        <v>-0.39310776942355891</v>
      </c>
    </row>
    <row r="48" spans="1:13" x14ac:dyDescent="0.3">
      <c r="A48" s="31" t="s">
        <v>221</v>
      </c>
      <c r="B48" s="46">
        <f>IFERROR('Balance Sheet Reported'!B72/'Annual Cash Flow Reported'!B13,"")</f>
        <v>3.1901408450704225</v>
      </c>
      <c r="C48" s="46">
        <f>IFERROR('Balance Sheet Reported'!C72/'Annual Cash Flow Reported'!C13,"")</f>
        <v>4.3236434108527133</v>
      </c>
      <c r="D48" s="46">
        <f>IFERROR('Balance Sheet Reported'!D72/'Annual Cash Flow Reported'!D13,"")</f>
        <v>4.4965034965034967</v>
      </c>
      <c r="E48" s="46">
        <f>IFERROR('Balance Sheet Reported'!E72/'Annual Cash Flow Reported'!E13,"")</f>
        <v>3.1763826606875933</v>
      </c>
      <c r="F48" s="46">
        <f>IFERROR('Balance Sheet Reported'!F72/'Annual Cash Flow Reported'!F13,"")</f>
        <v>3.5648484848484849</v>
      </c>
      <c r="G48" s="46">
        <f>IFERROR('Balance Sheet Reported'!G72/'Annual Cash Flow Reported'!G13,"")</f>
        <v>2.0770089285714284</v>
      </c>
      <c r="H48" s="46">
        <f>IFERROR('Balance Sheet Reported'!H72/'Annual Cash Flow Reported'!H13,"")</f>
        <v>1.7503607503607503</v>
      </c>
      <c r="I48" s="46">
        <f>IFERROR('Balance Sheet Reported'!I72/'Annual Cash Flow Reported'!I13,"")</f>
        <v>0.8455076698319941</v>
      </c>
      <c r="J48" s="46">
        <f>IFERROR('Balance Sheet Reported'!J72/'Annual Cash Flow Reported'!J13,"")</f>
        <v>1.502593659942363</v>
      </c>
      <c r="K48" s="46">
        <f>IFERROR('Balance Sheet Reported'!K72/'Annual Cash Flow Reported'!K13,"")</f>
        <v>0.58700980392156865</v>
      </c>
      <c r="L48" s="46">
        <f>IFERROR('Balance Sheet Reported'!L72/'Annual Cash Flow Reported'!L13,"")</f>
        <v>-2.3323416914577138</v>
      </c>
      <c r="M48" s="46">
        <f>IFERROR('Balance Sheet Reported'!M72/'Annual Cash Flow Reported'!M13,"")</f>
        <v>-3.318087318087318</v>
      </c>
    </row>
    <row r="49" spans="1:13" x14ac:dyDescent="0.3">
      <c r="A49" s="31" t="s">
        <v>222</v>
      </c>
      <c r="B49" s="46">
        <f>IFERROR(B13/-'Annual Inc Statement Reported'!B90,"")</f>
        <v>1.8832891246684351</v>
      </c>
      <c r="C49" s="46">
        <f>IFERROR(C13/-'Annual Inc Statement Reported'!C90,"")</f>
        <v>1.6329113924050633</v>
      </c>
      <c r="D49" s="46">
        <f>IFERROR(D13/-'Annual Inc Statement Reported'!D90,"")</f>
        <v>1.5</v>
      </c>
      <c r="E49" s="46">
        <f>IFERROR(E13/-'Annual Inc Statement Reported'!E90,"")</f>
        <v>1.9059829059829059</v>
      </c>
      <c r="F49" s="46">
        <f>IFERROR(F13/-'Annual Inc Statement Reported'!F90,"")</f>
        <v>2.8253424657534247</v>
      </c>
      <c r="G49" s="46">
        <f>IFERROR(G13/-'Annual Inc Statement Reported'!G90,"")</f>
        <v>5.6175548589341693</v>
      </c>
      <c r="H49" s="46">
        <f>IFERROR(H13/-'Annual Inc Statement Reported'!H90,"")</f>
        <v>6.5791139240506329</v>
      </c>
      <c r="I49" s="46">
        <f>IFERROR(I13/-'Annual Inc Statement Reported'!I90,"")</f>
        <v>9.956363636363637</v>
      </c>
      <c r="J49" s="46">
        <f>IFERROR(J13/-'Annual Inc Statement Reported'!J90,"")</f>
        <v>6.522556390977444</v>
      </c>
      <c r="K49" s="46">
        <f>IFERROR(K13/-'Annual Inc Statement Reported'!K90,"")</f>
        <v>11.9</v>
      </c>
      <c r="L49" s="46">
        <f>IFERROR(L13/-'Annual Inc Statement Reported'!L90,"")</f>
        <v>-3.586890243902439</v>
      </c>
      <c r="M49" s="46">
        <f>IFERROR(M13/-'Annual Inc Statement Reported'!M90,"")</f>
        <v>-3.335644937586685</v>
      </c>
    </row>
    <row r="50" spans="1:13" x14ac:dyDescent="0.3">
      <c r="A50" s="31" t="s">
        <v>223</v>
      </c>
      <c r="B50" s="2">
        <f>IFERROR(B13/'Balance Sheet Reported'!B75,"")</f>
        <v>0.15148282483464903</v>
      </c>
      <c r="C50" s="2">
        <f>IFERROR(C13/'Balance Sheet Reported'!C75,"")</f>
        <v>0.11276223776223776</v>
      </c>
      <c r="D50" s="2">
        <f>IFERROR(D13/'Balance Sheet Reported'!D75,"")</f>
        <v>0.10021023125437982</v>
      </c>
      <c r="E50" s="2">
        <f>IFERROR(E13/'Balance Sheet Reported'!E75,"")</f>
        <v>0.15375775683750861</v>
      </c>
      <c r="F50" s="2">
        <f>IFERROR(F13/'Balance Sheet Reported'!F75,"")</f>
        <v>0.1607560405300078</v>
      </c>
      <c r="G50" s="2">
        <f>IFERROR(G13/'Balance Sheet Reported'!G75,"")</f>
        <v>0.28935895365735509</v>
      </c>
      <c r="H50" s="2">
        <f>IFERROR(H13/'Balance Sheet Reported'!H75,"")</f>
        <v>0.30248799650807506</v>
      </c>
      <c r="I50" s="2">
        <f>IFERROR(I13/'Balance Sheet Reported'!I75,"")</f>
        <v>0.46915695681973957</v>
      </c>
      <c r="J50" s="2">
        <f>IFERROR(J13/'Balance Sheet Reported'!J75,"")</f>
        <v>0.66551591868047566</v>
      </c>
      <c r="K50" s="2">
        <f>IFERROR(K13/'Balance Sheet Reported'!K75,"")</f>
        <v>1.7035490605427974</v>
      </c>
      <c r="L50" s="2">
        <f>IFERROR(L13/'Balance Sheet Reported'!L75,"")</f>
        <v>-0.42875364431486879</v>
      </c>
      <c r="M50" s="2">
        <f>IFERROR(M13/'Balance Sheet Reported'!M75,"")</f>
        <v>-0.30137844611528825</v>
      </c>
    </row>
    <row r="51" spans="1:13" x14ac:dyDescent="0.3">
      <c r="A51" s="31" t="s">
        <v>224</v>
      </c>
      <c r="B51" s="2">
        <f>IFERROR(B40/'Balance Sheet Reported'!B72,"")</f>
        <v>0.27417218543046357</v>
      </c>
      <c r="C51" s="2">
        <f>IFERROR(C40/'Balance Sheet Reported'!C72,"")</f>
        <v>0.13536530703720304</v>
      </c>
      <c r="D51" s="2">
        <f>IFERROR(D40/'Balance Sheet Reported'!D72,"")</f>
        <v>8.812856402280975E-3</v>
      </c>
      <c r="E51" s="2">
        <f>IFERROR(E40/'Balance Sheet Reported'!E72,"")</f>
        <v>-0.10494117647058823</v>
      </c>
      <c r="F51" s="2">
        <f>IFERROR(F40/'Balance Sheet Reported'!F72,"")</f>
        <v>-0.20537232233934036</v>
      </c>
      <c r="G51" s="2">
        <f>IFERROR(G40/'Balance Sheet Reported'!G72,"")</f>
        <v>0</v>
      </c>
      <c r="H51" s="2">
        <f>IFERROR(H40/'Balance Sheet Reported'!H72,"")</f>
        <v>-0.13465237702665567</v>
      </c>
      <c r="I51" s="2">
        <f>IFERROR(I40/'Balance Sheet Reported'!I72,"")</f>
        <v>0.13866090712742982</v>
      </c>
      <c r="J51" s="2">
        <f>IFERROR(J40/'Balance Sheet Reported'!J72,"")</f>
        <v>0.20042194092827004</v>
      </c>
      <c r="K51" s="2">
        <f>IFERROR(K40/'Balance Sheet Reported'!K72,"")</f>
        <v>1.1067700566656726</v>
      </c>
      <c r="L51" s="2">
        <f>IFERROR(L40/'Balance Sheet Reported'!L72,"")</f>
        <v>-0.64559037900874638</v>
      </c>
      <c r="M51" s="2">
        <f>IFERROR(M40/'Balance Sheet Reported'!M72,"")</f>
        <v>-0.4276942355889724</v>
      </c>
    </row>
    <row r="52" spans="1:13" x14ac:dyDescent="0.3">
      <c r="A52" s="31" t="s">
        <v>225</v>
      </c>
      <c r="B52" s="2">
        <f>IFERROR(B40/'Balance Sheet Reported'!B75,"")</f>
        <v>0.1324941327074888</v>
      </c>
      <c r="C52" s="2">
        <f>IFERROR(C40/'Balance Sheet Reported'!C75,"")</f>
        <v>6.5996503496503503E-2</v>
      </c>
      <c r="D52" s="2">
        <f>IFERROR(D40/'Balance Sheet Reported'!D75,"")</f>
        <v>3.9710348049521137E-3</v>
      </c>
      <c r="E52" s="2">
        <f>IFERROR(E40/'Balance Sheet Reported'!E75,"")</f>
        <v>-5.1252585612502871E-2</v>
      </c>
      <c r="F52" s="2">
        <f>IFERROR(F40/'Balance Sheet Reported'!F75,"")</f>
        <v>-0.11769290724863601</v>
      </c>
      <c r="G52" s="2">
        <f>IFERROR(G40/'Balance Sheet Reported'!G75,"")</f>
        <v>0</v>
      </c>
      <c r="H52" s="2">
        <f>IFERROR(H40/'Balance Sheet Reported'!H75,"")</f>
        <v>-7.1293467190455401E-2</v>
      </c>
      <c r="I52" s="2">
        <f>IFERROR(I40/'Balance Sheet Reported'!I75,"")</f>
        <v>5.5003427004797809E-2</v>
      </c>
      <c r="J52" s="2">
        <f>IFERROR(J40/'Balance Sheet Reported'!J75,"")</f>
        <v>0.20042194092827004</v>
      </c>
      <c r="K52" s="2">
        <f>IFERROR(K40/'Balance Sheet Reported'!K75,"")</f>
        <v>1.1067700566656726</v>
      </c>
      <c r="L52" s="2">
        <f>IFERROR(L40/'Balance Sheet Reported'!L75,"")</f>
        <v>-0.64559037900874638</v>
      </c>
      <c r="M52" s="2">
        <f>IFERROR(M40/'Balance Sheet Reported'!M75,"")</f>
        <v>-0.4276942355889724</v>
      </c>
    </row>
    <row r="53" spans="1:13" x14ac:dyDescent="0.3">
      <c r="A53" s="31" t="s">
        <v>302</v>
      </c>
      <c r="B53" s="2">
        <f>IFERROR('Balance Sheet Reported'!B71/'Annual Inc Statement Reported'!B13,"")</f>
        <v>0.20322640459855368</v>
      </c>
      <c r="C53" s="2">
        <f>IFERROR('Balance Sheet Reported'!C71/'Annual Inc Statement Reported'!C13,"")</f>
        <v>0.18076128143300035</v>
      </c>
      <c r="D53" s="2">
        <f>IFERROR('Balance Sheet Reported'!D71/'Annual Inc Statement Reported'!D13,"")</f>
        <v>0.16716171617161715</v>
      </c>
      <c r="E53" s="2">
        <f>IFERROR('Balance Sheet Reported'!E71/'Annual Inc Statement Reported'!E13,"")</f>
        <v>0.1783233726376999</v>
      </c>
      <c r="F53" s="2">
        <f>IFERROR('Balance Sheet Reported'!F71/'Annual Inc Statement Reported'!F13,"")</f>
        <v>0.17141350210970463</v>
      </c>
      <c r="G53" s="2">
        <f>IFERROR('Balance Sheet Reported'!G71/'Annual Inc Statement Reported'!G13,"")</f>
        <v>0.19267378136717622</v>
      </c>
      <c r="H53" s="2">
        <f>IFERROR('Balance Sheet Reported'!H71/'Annual Inc Statement Reported'!H13,"")</f>
        <v>0.20297063432581591</v>
      </c>
      <c r="I53" s="2">
        <f>IFERROR('Balance Sheet Reported'!I71/'Annual Inc Statement Reported'!I13,"")</f>
        <v>0.23406349987693822</v>
      </c>
      <c r="J53" s="2">
        <f>IFERROR('Balance Sheet Reported'!J71/'Annual Inc Statement Reported'!J13,"")</f>
        <v>0.26145642392934509</v>
      </c>
      <c r="K53" s="2">
        <f>IFERROR('Balance Sheet Reported'!K71/'Annual Inc Statement Reported'!K13,"")</f>
        <v>0.30782499607966129</v>
      </c>
      <c r="L53" s="2">
        <f>IFERROR('Balance Sheet Reported'!L71/'Annual Inc Statement Reported'!L13,"")</f>
        <v>1.2859591976684381</v>
      </c>
      <c r="M53" s="2">
        <f>IFERROR('Balance Sheet Reported'!M71/'Annual Inc Statement Reported'!M13,"")</f>
        <v>1.9354982206405693</v>
      </c>
    </row>
    <row r="54" spans="1:13" x14ac:dyDescent="0.3">
      <c r="A54" s="8" t="s">
        <v>292</v>
      </c>
      <c r="B54" s="10"/>
      <c r="C54" s="10"/>
      <c r="D54" s="10"/>
      <c r="E54" s="10"/>
      <c r="F54" s="10"/>
      <c r="G54" s="10"/>
      <c r="H54" s="10"/>
      <c r="I54" s="10"/>
      <c r="J54" s="10"/>
      <c r="K54" s="10"/>
      <c r="L54" s="10"/>
      <c r="M54" s="10"/>
    </row>
    <row r="55" spans="1:13" x14ac:dyDescent="0.3">
      <c r="A55" s="64"/>
      <c r="B55" s="2"/>
      <c r="C55" s="2"/>
      <c r="D55" s="2"/>
      <c r="E55" s="2"/>
      <c r="F55" s="2"/>
      <c r="G55" s="2"/>
      <c r="H55" s="2"/>
      <c r="I55" s="2"/>
      <c r="J55" s="2"/>
      <c r="K55" s="2"/>
      <c r="L55" s="2"/>
      <c r="M55" s="2"/>
    </row>
    <row r="56" spans="1:13" x14ac:dyDescent="0.3">
      <c r="A56" s="14" t="s">
        <v>300</v>
      </c>
      <c r="B56" s="21">
        <f>B13-'Annual Inc Statement Reported'!B27</f>
        <v>1056</v>
      </c>
      <c r="C56" s="21">
        <f>C13-'Annual Inc Statement Reported'!C27</f>
        <v>851</v>
      </c>
      <c r="D56" s="21">
        <f>D13-'Annual Inc Statement Reported'!D27</f>
        <v>765</v>
      </c>
      <c r="E56" s="21">
        <f>E13-'Annual Inc Statement Reported'!E27</f>
        <v>987</v>
      </c>
      <c r="F56" s="21">
        <f>F13-'Annual Inc Statement Reported'!F27</f>
        <v>1138</v>
      </c>
      <c r="G56" s="21">
        <f>G13-'Annual Inc Statement Reported'!G27</f>
        <v>2145</v>
      </c>
      <c r="H56" s="21">
        <f>H13-'Annual Inc Statement Reported'!H27</f>
        <v>2541</v>
      </c>
      <c r="I56" s="21">
        <f>I13-'Annual Inc Statement Reported'!I27</f>
        <v>3241</v>
      </c>
      <c r="J56" s="21">
        <f>J13-'Annual Inc Statement Reported'!J27</f>
        <v>3470</v>
      </c>
      <c r="K56" s="21">
        <f>K13-'Annual Inc Statement Reported'!K27</f>
        <v>5712</v>
      </c>
      <c r="L56" s="21">
        <f>L13-'Annual Inc Statement Reported'!L27</f>
        <v>-2353</v>
      </c>
      <c r="M56" s="21">
        <f>M13-'Annual Inc Statement Reported'!M27</f>
        <v>-2405</v>
      </c>
    </row>
    <row r="57" spans="1:13" x14ac:dyDescent="0.3">
      <c r="A57" s="31" t="s">
        <v>293</v>
      </c>
      <c r="B57" s="45">
        <f t="shared" ref="B57:M57" si="30">MAX(0,-B14-B15-B25)</f>
        <v>0</v>
      </c>
      <c r="C57" s="45">
        <f t="shared" si="30"/>
        <v>0</v>
      </c>
      <c r="D57" s="45">
        <f t="shared" si="30"/>
        <v>286</v>
      </c>
      <c r="E57" s="45">
        <f t="shared" si="30"/>
        <v>0</v>
      </c>
      <c r="F57" s="45">
        <f t="shared" si="30"/>
        <v>251</v>
      </c>
      <c r="G57" s="45">
        <f t="shared" si="30"/>
        <v>887</v>
      </c>
      <c r="H57" s="45">
        <f t="shared" si="30"/>
        <v>31</v>
      </c>
      <c r="I57" s="45">
        <f t="shared" ref="I57:J57" si="31">MAX(0,-I14-I15-I25)</f>
        <v>1684</v>
      </c>
      <c r="J57" s="45">
        <f t="shared" si="31"/>
        <v>1215</v>
      </c>
      <c r="K57" s="45">
        <f t="shared" ref="K57:L57" si="32">MAX(0,-K14-K15-K25)</f>
        <v>2001</v>
      </c>
      <c r="L57" s="45">
        <f t="shared" si="32"/>
        <v>0</v>
      </c>
      <c r="M57" s="45">
        <f t="shared" si="30"/>
        <v>0</v>
      </c>
    </row>
    <row r="58" spans="1:13" s="44" customFormat="1" x14ac:dyDescent="0.3">
      <c r="A58" s="42" t="s">
        <v>294</v>
      </c>
      <c r="B58" s="43">
        <f t="shared" ref="B58:M58" si="33">B56-B57</f>
        <v>1056</v>
      </c>
      <c r="C58" s="43">
        <f t="shared" si="33"/>
        <v>851</v>
      </c>
      <c r="D58" s="43">
        <f t="shared" si="33"/>
        <v>479</v>
      </c>
      <c r="E58" s="43">
        <f t="shared" si="33"/>
        <v>987</v>
      </c>
      <c r="F58" s="43">
        <f t="shared" si="33"/>
        <v>887</v>
      </c>
      <c r="G58" s="43">
        <f t="shared" si="33"/>
        <v>1258</v>
      </c>
      <c r="H58" s="43">
        <f t="shared" si="33"/>
        <v>2510</v>
      </c>
      <c r="I58" s="43">
        <f t="shared" ref="I58:J58" si="34">I56-I57</f>
        <v>1557</v>
      </c>
      <c r="J58" s="43">
        <f t="shared" si="34"/>
        <v>2255</v>
      </c>
      <c r="K58" s="43">
        <f t="shared" ref="K58:L58" si="35">K56-K57</f>
        <v>3711</v>
      </c>
      <c r="L58" s="43">
        <f t="shared" si="35"/>
        <v>-2353</v>
      </c>
      <c r="M58" s="43">
        <f t="shared" si="33"/>
        <v>-2405</v>
      </c>
    </row>
    <row r="59" spans="1:13" x14ac:dyDescent="0.3">
      <c r="A59" s="64"/>
      <c r="B59" s="21"/>
      <c r="C59" s="21"/>
      <c r="D59" s="21"/>
      <c r="E59" s="21"/>
      <c r="F59" s="21"/>
      <c r="G59" s="21"/>
      <c r="H59" s="21"/>
      <c r="I59" s="21"/>
      <c r="J59" s="21"/>
      <c r="K59" s="21"/>
      <c r="L59" s="21"/>
      <c r="M59" s="21"/>
    </row>
    <row r="60" spans="1:13" x14ac:dyDescent="0.3">
      <c r="A60" s="42" t="s">
        <v>299</v>
      </c>
      <c r="B60" s="21"/>
      <c r="C60" s="21"/>
      <c r="D60" s="21"/>
      <c r="E60" s="21"/>
      <c r="F60" s="21"/>
      <c r="G60" s="21"/>
      <c r="H60" s="21"/>
      <c r="I60" s="21"/>
      <c r="J60" s="21"/>
      <c r="K60" s="21"/>
      <c r="L60" s="21"/>
      <c r="M60" s="21"/>
    </row>
    <row r="61" spans="1:13" x14ac:dyDescent="0.3">
      <c r="A61" s="64" t="s">
        <v>295</v>
      </c>
      <c r="B61" s="21">
        <f>-'Annual Inc Statement Reported'!B27</f>
        <v>346</v>
      </c>
      <c r="C61" s="21">
        <f>-'Annual Inc Statement Reported'!C27</f>
        <v>335</v>
      </c>
      <c r="D61" s="21">
        <f>-'Annual Inc Statement Reported'!D27</f>
        <v>336</v>
      </c>
      <c r="E61" s="21">
        <f>-'Annual Inc Statement Reported'!E27</f>
        <v>318</v>
      </c>
      <c r="F61" s="21">
        <f>-'Annual Inc Statement Reported'!F27</f>
        <v>313</v>
      </c>
      <c r="G61" s="21">
        <f>-'Annual Inc Statement Reported'!G27</f>
        <v>353</v>
      </c>
      <c r="H61" s="21">
        <f>-'Annual Inc Statement Reported'!H27</f>
        <v>462</v>
      </c>
      <c r="I61" s="21">
        <f>-'Annual Inc Statement Reported'!I27</f>
        <v>503</v>
      </c>
      <c r="J61" s="21">
        <f>-'Annual Inc Statement Reported'!J27</f>
        <v>0</v>
      </c>
      <c r="K61" s="21">
        <f>-'Annual Inc Statement Reported'!K27</f>
        <v>0</v>
      </c>
      <c r="L61" s="21">
        <f>-'Annual Inc Statement Reported'!L27</f>
        <v>0</v>
      </c>
      <c r="M61" s="21">
        <f>-'Annual Inc Statement Reported'!M27</f>
        <v>0</v>
      </c>
    </row>
    <row r="62" spans="1:13" x14ac:dyDescent="0.3">
      <c r="A62" s="64" t="s">
        <v>296</v>
      </c>
      <c r="B62" s="45">
        <f t="shared" ref="B62:M62" si="36">-B27-B28</f>
        <v>1135</v>
      </c>
      <c r="C62" s="45">
        <f t="shared" si="36"/>
        <v>608</v>
      </c>
      <c r="D62" s="45">
        <f t="shared" si="36"/>
        <v>442</v>
      </c>
      <c r="E62" s="45">
        <f t="shared" si="36"/>
        <v>1646</v>
      </c>
      <c r="F62" s="45">
        <f t="shared" si="36"/>
        <v>677</v>
      </c>
      <c r="G62" s="45">
        <f t="shared" si="36"/>
        <v>707</v>
      </c>
      <c r="H62" s="45">
        <f t="shared" si="36"/>
        <v>2275</v>
      </c>
      <c r="I62" s="45">
        <f t="shared" ref="I62:J62" si="37">-I27-I28</f>
        <v>814</v>
      </c>
      <c r="J62" s="45">
        <f t="shared" si="37"/>
        <v>1706</v>
      </c>
      <c r="K62" s="45">
        <f t="shared" ref="K62:L62" si="38">-K27-K28</f>
        <v>1084</v>
      </c>
      <c r="L62" s="45">
        <f t="shared" si="38"/>
        <v>2719</v>
      </c>
      <c r="M62" s="45">
        <f t="shared" si="36"/>
        <v>5008</v>
      </c>
    </row>
    <row r="63" spans="1:13" s="44" customFormat="1" x14ac:dyDescent="0.3">
      <c r="A63" s="42" t="s">
        <v>297</v>
      </c>
      <c r="B63" s="43">
        <f t="shared" ref="B63:M63" si="39">B61+B62</f>
        <v>1481</v>
      </c>
      <c r="C63" s="43">
        <f t="shared" si="39"/>
        <v>943</v>
      </c>
      <c r="D63" s="43">
        <f t="shared" si="39"/>
        <v>778</v>
      </c>
      <c r="E63" s="43">
        <f t="shared" si="39"/>
        <v>1964</v>
      </c>
      <c r="F63" s="43">
        <f t="shared" si="39"/>
        <v>990</v>
      </c>
      <c r="G63" s="43">
        <f t="shared" si="39"/>
        <v>1060</v>
      </c>
      <c r="H63" s="43">
        <f t="shared" si="39"/>
        <v>2737</v>
      </c>
      <c r="I63" s="43">
        <f t="shared" ref="I63:J63" si="40">I61+I62</f>
        <v>1317</v>
      </c>
      <c r="J63" s="43">
        <f t="shared" si="40"/>
        <v>1706</v>
      </c>
      <c r="K63" s="43">
        <f t="shared" ref="K63:L63" si="41">K61+K62</f>
        <v>1084</v>
      </c>
      <c r="L63" s="43">
        <f t="shared" si="41"/>
        <v>2719</v>
      </c>
      <c r="M63" s="43">
        <f t="shared" si="39"/>
        <v>5008</v>
      </c>
    </row>
    <row r="64" spans="1:13" s="44" customFormat="1" x14ac:dyDescent="0.3">
      <c r="A64" s="42" t="s">
        <v>298</v>
      </c>
      <c r="B64" s="81">
        <f>IFERROR(B58/B63,"")</f>
        <v>0.71303173531397701</v>
      </c>
      <c r="C64" s="81">
        <f t="shared" ref="C64:M64" si="42">IFERROR(C58/C63,"")</f>
        <v>0.90243902439024393</v>
      </c>
      <c r="D64" s="81">
        <f t="shared" si="42"/>
        <v>0.61568123393316199</v>
      </c>
      <c r="E64" s="81">
        <f t="shared" si="42"/>
        <v>0.50254582484725052</v>
      </c>
      <c r="F64" s="81">
        <f t="shared" si="42"/>
        <v>0.89595959595959596</v>
      </c>
      <c r="G64" s="81">
        <f t="shared" si="42"/>
        <v>1.1867924528301887</v>
      </c>
      <c r="H64" s="81">
        <f t="shared" si="42"/>
        <v>0.91706247716477896</v>
      </c>
      <c r="I64" s="81">
        <f t="shared" ref="I64:J64" si="43">IFERROR(I58/I63,"")</f>
        <v>1.1822323462414579</v>
      </c>
      <c r="J64" s="81">
        <f t="shared" si="43"/>
        <v>1.3218053927315359</v>
      </c>
      <c r="K64" s="81">
        <f t="shared" ref="K64:L64" si="44">IFERROR(K58/K63,"")</f>
        <v>3.4234317343173433</v>
      </c>
      <c r="L64" s="81">
        <f t="shared" si="44"/>
        <v>-0.86539168812063261</v>
      </c>
      <c r="M64" s="81">
        <f t="shared" si="42"/>
        <v>-0.48023162939297126</v>
      </c>
    </row>
    <row r="65" spans="1:13" s="44" customFormat="1" x14ac:dyDescent="0.3">
      <c r="A65" s="42" t="s">
        <v>301</v>
      </c>
      <c r="B65" s="46"/>
      <c r="C65" s="46">
        <f>'Annual Inc Statement Reported'!C97</f>
        <v>1.1953801732435034</v>
      </c>
      <c r="D65" s="46">
        <f>'Annual Inc Statement Reported'!D97</f>
        <v>1.3299725022914757</v>
      </c>
      <c r="E65" s="46">
        <f>'Annual Inc Statement Reported'!E97</f>
        <v>1.4985163204747773</v>
      </c>
      <c r="F65" s="46">
        <f>'Annual Inc Statement Reported'!F97</f>
        <v>1.5914285714285714</v>
      </c>
      <c r="G65" s="46">
        <f>'Annual Inc Statement Reported'!G97</f>
        <v>2.1843478260869564</v>
      </c>
      <c r="H65" s="46">
        <f>'Annual Inc Statement Reported'!H97</f>
        <v>1.8886569241475295</v>
      </c>
      <c r="I65" s="46">
        <f>'Annual Inc Statement Reported'!I97</f>
        <v>2.0539956803455723</v>
      </c>
      <c r="J65" s="46">
        <f>'Annual Inc Statement Reported'!J97</f>
        <v>2.1827445652173911</v>
      </c>
      <c r="K65" s="46">
        <f>'Annual Inc Statement Reported'!K97</f>
        <v>2.3702737940026077</v>
      </c>
      <c r="L65" s="46">
        <f>'Annual Inc Statement Reported'!L97</f>
        <v>-0.69896193771626303</v>
      </c>
      <c r="M65" s="46">
        <f>'Annual Inc Statement Reported'!M97</f>
        <v>-1.1443236714975846</v>
      </c>
    </row>
  </sheetData>
  <mergeCells count="1">
    <mergeCell ref="A1:M1"/>
  </mergeCells>
  <pageMargins left="0.70866141732283472" right="0.70866141732283472" top="0.74803149606299213" bottom="0.74803149606299213" header="0.31496062992125984" footer="0.31496062992125984"/>
  <pageSetup paperSize="9" scale="41"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tint="0.79998168889431442"/>
  </sheetPr>
  <dimension ref="A1:AA65"/>
  <sheetViews>
    <sheetView view="pageBreakPreview" zoomScale="85" zoomScaleNormal="100" zoomScaleSheetLayoutView="85" workbookViewId="0">
      <pane xSplit="1" ySplit="7" topLeftCell="B8" activePane="bottomRight" state="frozen"/>
      <selection pane="topRight" activeCell="B1" sqref="B1"/>
      <selection pane="bottomLeft" activeCell="A8" sqref="A8"/>
      <selection pane="bottomRight" activeCell="O21" sqref="O21"/>
    </sheetView>
  </sheetViews>
  <sheetFormatPr defaultColWidth="8.88671875" defaultRowHeight="14.4" x14ac:dyDescent="0.3"/>
  <cols>
    <col min="1" max="1" width="73.88671875" style="13" bestFit="1" customWidth="1"/>
    <col min="2" max="7" width="10.44140625" style="13" bestFit="1" customWidth="1"/>
    <col min="8" max="13" width="10.44140625" style="13" customWidth="1"/>
    <col min="14" max="16384" width="8.88671875" style="13"/>
  </cols>
  <sheetData>
    <row r="1" spans="1:27" ht="28.8" x14ac:dyDescent="0.55000000000000004">
      <c r="A1" s="349" t="str">
        <f>(Inputs!$E$9 &amp; " - Annual Cash Flow " &amp; Inputs!$E$19)</f>
        <v>Air Canada - Annual Cash Flow US$</v>
      </c>
      <c r="B1" s="349"/>
      <c r="C1" s="349"/>
      <c r="D1" s="349"/>
      <c r="E1" s="349"/>
      <c r="F1" s="349"/>
      <c r="G1" s="349"/>
      <c r="H1" s="349"/>
      <c r="I1" s="349"/>
      <c r="J1" s="349"/>
      <c r="K1" s="349"/>
      <c r="L1" s="349"/>
      <c r="M1" s="349"/>
      <c r="N1" s="69"/>
    </row>
    <row r="2" spans="1:27" x14ac:dyDescent="0.3">
      <c r="A2" s="3"/>
      <c r="B2" s="3" t="s">
        <v>11</v>
      </c>
      <c r="C2" s="3" t="s">
        <v>11</v>
      </c>
      <c r="D2" s="3" t="s">
        <v>11</v>
      </c>
      <c r="E2" s="3" t="s">
        <v>11</v>
      </c>
      <c r="F2" s="3" t="s">
        <v>11</v>
      </c>
      <c r="G2" s="3" t="s">
        <v>11</v>
      </c>
      <c r="H2" s="3" t="s">
        <v>11</v>
      </c>
      <c r="I2" s="3" t="s">
        <v>11</v>
      </c>
      <c r="J2" s="3" t="s">
        <v>11</v>
      </c>
      <c r="K2" s="3" t="s">
        <v>11</v>
      </c>
      <c r="L2" s="3" t="s">
        <v>11</v>
      </c>
      <c r="M2" s="3" t="s">
        <v>268</v>
      </c>
      <c r="N2" s="16"/>
      <c r="O2" s="16"/>
      <c r="P2" s="16"/>
      <c r="Q2" s="16"/>
      <c r="R2" s="16"/>
      <c r="S2" s="16"/>
      <c r="T2" s="16"/>
      <c r="U2" s="16"/>
      <c r="V2" s="16"/>
      <c r="W2" s="16"/>
      <c r="X2" s="16"/>
      <c r="Y2" s="16"/>
      <c r="Z2" s="16"/>
      <c r="AA2" s="16"/>
    </row>
    <row r="3" spans="1:27" x14ac:dyDescent="0.3">
      <c r="A3" s="3"/>
      <c r="B3" s="7">
        <f>'Annual Operational Data'!B3</f>
        <v>40543</v>
      </c>
      <c r="C3" s="7">
        <f>'Annual Operational Data'!C3</f>
        <v>40908</v>
      </c>
      <c r="D3" s="7">
        <f>'Annual Operational Data'!D3</f>
        <v>41274</v>
      </c>
      <c r="E3" s="7">
        <f>'Annual Operational Data'!E3</f>
        <v>41639</v>
      </c>
      <c r="F3" s="7">
        <f>'Annual Operational Data'!F3</f>
        <v>42004</v>
      </c>
      <c r="G3" s="7">
        <f>'Annual Operational Data'!G3</f>
        <v>42369</v>
      </c>
      <c r="H3" s="7">
        <f>'Annual Operational Data'!H3</f>
        <v>42735</v>
      </c>
      <c r="I3" s="7">
        <f>'Annual Operational Data'!I3</f>
        <v>43100</v>
      </c>
      <c r="J3" s="7">
        <f>'Annual Operational Data'!J3</f>
        <v>43465</v>
      </c>
      <c r="K3" s="7">
        <f>'Annual Operational Data'!K3</f>
        <v>43830</v>
      </c>
      <c r="L3" s="7">
        <f>'Annual Operational Data'!L3</f>
        <v>44196</v>
      </c>
      <c r="M3" s="7">
        <f>'Annual Operational Data'!M3</f>
        <v>44469</v>
      </c>
      <c r="N3" s="16"/>
      <c r="O3" s="16"/>
      <c r="P3" s="16"/>
      <c r="Q3" s="16"/>
      <c r="R3" s="16"/>
      <c r="S3" s="16"/>
      <c r="T3" s="16"/>
      <c r="U3" s="16"/>
      <c r="V3" s="16"/>
      <c r="W3" s="16"/>
      <c r="X3" s="16"/>
      <c r="Y3" s="16"/>
      <c r="Z3" s="16"/>
      <c r="AA3" s="16"/>
    </row>
    <row r="4" spans="1:27" x14ac:dyDescent="0.3">
      <c r="A4" s="3"/>
      <c r="B4" s="3" t="s">
        <v>1</v>
      </c>
      <c r="C4" s="3" t="s">
        <v>1</v>
      </c>
      <c r="D4" s="3" t="s">
        <v>1</v>
      </c>
      <c r="E4" s="3" t="s">
        <v>1</v>
      </c>
      <c r="F4" s="3" t="s">
        <v>1</v>
      </c>
      <c r="G4" s="3" t="s">
        <v>1</v>
      </c>
      <c r="H4" s="3" t="s">
        <v>1</v>
      </c>
      <c r="I4" s="3" t="s">
        <v>1</v>
      </c>
      <c r="J4" s="3" t="s">
        <v>1</v>
      </c>
      <c r="K4" s="3" t="s">
        <v>1</v>
      </c>
      <c r="L4" s="3" t="s">
        <v>1</v>
      </c>
      <c r="M4" s="3" t="s">
        <v>1</v>
      </c>
      <c r="N4" s="16"/>
      <c r="O4" s="16"/>
      <c r="P4" s="16"/>
      <c r="Q4" s="16"/>
      <c r="R4" s="16"/>
      <c r="S4" s="16"/>
      <c r="T4" s="16"/>
      <c r="U4" s="16"/>
      <c r="V4" s="16"/>
      <c r="W4" s="16"/>
      <c r="X4" s="16"/>
      <c r="Y4" s="16"/>
      <c r="Z4" s="16"/>
      <c r="AA4" s="16"/>
    </row>
    <row r="5" spans="1:27" x14ac:dyDescent="0.3">
      <c r="A5" s="3"/>
      <c r="B5" s="3" t="str">
        <f>Inputs!$E$19 &amp;"m"</f>
        <v>US$m</v>
      </c>
      <c r="C5" s="3" t="str">
        <f>Inputs!$E$19 &amp;"m"</f>
        <v>US$m</v>
      </c>
      <c r="D5" s="3" t="str">
        <f>Inputs!$E$19 &amp;"m"</f>
        <v>US$m</v>
      </c>
      <c r="E5" s="3" t="str">
        <f>Inputs!$E$19 &amp;"m"</f>
        <v>US$m</v>
      </c>
      <c r="F5" s="3" t="str">
        <f>Inputs!$E$19 &amp;"m"</f>
        <v>US$m</v>
      </c>
      <c r="G5" s="3" t="str">
        <f>Inputs!$E$19 &amp;"m"</f>
        <v>US$m</v>
      </c>
      <c r="H5" s="3" t="str">
        <f>Inputs!$E$19 &amp;"m"</f>
        <v>US$m</v>
      </c>
      <c r="I5" s="3" t="str">
        <f>Inputs!$E$19 &amp;"m"</f>
        <v>US$m</v>
      </c>
      <c r="J5" s="3" t="str">
        <f>Inputs!$E$19 &amp;"m"</f>
        <v>US$m</v>
      </c>
      <c r="K5" s="3" t="str">
        <f>Inputs!$E$19 &amp;"m"</f>
        <v>US$m</v>
      </c>
      <c r="L5" s="3" t="str">
        <f>Inputs!$E$19 &amp;"m"</f>
        <v>US$m</v>
      </c>
      <c r="M5" s="3" t="str">
        <f>Inputs!$E$19 &amp;"m"</f>
        <v>US$m</v>
      </c>
      <c r="N5" s="16"/>
      <c r="O5" s="16"/>
      <c r="P5" s="16"/>
      <c r="Q5" s="16"/>
      <c r="R5" s="16"/>
      <c r="S5" s="16"/>
      <c r="T5" s="16"/>
      <c r="U5" s="16"/>
      <c r="V5" s="16"/>
      <c r="W5" s="16"/>
      <c r="X5" s="16"/>
      <c r="Y5" s="16"/>
      <c r="Z5" s="16"/>
      <c r="AA5" s="16"/>
    </row>
    <row r="6" spans="1:27" x14ac:dyDescent="0.3">
      <c r="A6" s="3"/>
      <c r="B6" s="3" t="str">
        <f>(Inputs!$E$19 &amp; " / " &amp;Inputs!$E$18)</f>
        <v>US$ / CAD</v>
      </c>
      <c r="C6" s="3" t="str">
        <f>(Inputs!$E$19 &amp; " / " &amp;Inputs!$E$18)</f>
        <v>US$ / CAD</v>
      </c>
      <c r="D6" s="3" t="str">
        <f>(Inputs!$E$19 &amp; " / " &amp;Inputs!$E$18)</f>
        <v>US$ / CAD</v>
      </c>
      <c r="E6" s="3" t="str">
        <f>(Inputs!$E$19 &amp; " / " &amp;Inputs!$E$18)</f>
        <v>US$ / CAD</v>
      </c>
      <c r="F6" s="3" t="str">
        <f>(Inputs!$E$19 &amp; " / " &amp;Inputs!$E$18)</f>
        <v>US$ / CAD</v>
      </c>
      <c r="G6" s="3" t="str">
        <f>(Inputs!$E$19 &amp; " / " &amp;Inputs!$E$18)</f>
        <v>US$ / CAD</v>
      </c>
      <c r="H6" s="3" t="str">
        <f>(Inputs!$E$19 &amp; " / " &amp;Inputs!$E$18)</f>
        <v>US$ / CAD</v>
      </c>
      <c r="I6" s="3" t="str">
        <f>(Inputs!$E$19 &amp; " / " &amp;Inputs!$E$18)</f>
        <v>US$ / CAD</v>
      </c>
      <c r="J6" s="3" t="str">
        <f>(Inputs!$E$19 &amp; " / " &amp;Inputs!$E$18)</f>
        <v>US$ / CAD</v>
      </c>
      <c r="K6" s="3" t="str">
        <f>(Inputs!$E$19 &amp; " / " &amp;Inputs!$E$18)</f>
        <v>US$ / CAD</v>
      </c>
      <c r="L6" s="3" t="str">
        <f>(Inputs!$E$19 &amp; " / " &amp;Inputs!$E$18)</f>
        <v>US$ / CAD</v>
      </c>
      <c r="M6" s="3" t="str">
        <f>(Inputs!$E$19 &amp; " / " &amp;Inputs!$E$18)</f>
        <v>US$ / CAD</v>
      </c>
      <c r="N6" s="16"/>
      <c r="O6" s="16"/>
      <c r="P6" s="16"/>
      <c r="Q6" s="16"/>
      <c r="R6" s="16"/>
      <c r="S6" s="16"/>
      <c r="T6" s="16"/>
      <c r="U6" s="16"/>
      <c r="V6" s="16"/>
      <c r="W6" s="16"/>
      <c r="X6" s="16"/>
      <c r="Y6" s="16"/>
      <c r="Z6" s="16"/>
      <c r="AA6" s="16"/>
    </row>
    <row r="7" spans="1:27" x14ac:dyDescent="0.3">
      <c r="A7" s="3"/>
      <c r="B7" s="20">
        <f>Inputs!E24</f>
        <v>1.0301899999999999</v>
      </c>
      <c r="C7" s="20">
        <f>Inputs!F24</f>
        <v>0.98882999999999999</v>
      </c>
      <c r="D7" s="20">
        <f>Inputs!G24</f>
        <v>0.99963999999999997</v>
      </c>
      <c r="E7" s="20">
        <f>Inputs!H24</f>
        <v>1.0298</v>
      </c>
      <c r="F7" s="20">
        <f>Inputs!I24</f>
        <v>1.0407</v>
      </c>
      <c r="G7" s="20">
        <f>Inputs!J24</f>
        <v>1.27763</v>
      </c>
      <c r="H7" s="20">
        <f>Inputs!K24</f>
        <v>1.32524</v>
      </c>
      <c r="I7" s="20">
        <f>Inputs!L24</f>
        <v>1.2981288461538452</v>
      </c>
      <c r="J7" s="20">
        <f>Inputs!M24</f>
        <v>1.2959680076628346</v>
      </c>
      <c r="K7" s="20">
        <f>Inputs!N24</f>
        <v>1.3269</v>
      </c>
      <c r="L7" s="20">
        <f>Inputs!O24</f>
        <v>1.31555</v>
      </c>
      <c r="M7" s="20">
        <f>Inputs!O24</f>
        <v>1.31555</v>
      </c>
      <c r="N7" s="16"/>
      <c r="O7" s="16"/>
      <c r="P7" s="16"/>
      <c r="Q7" s="16"/>
      <c r="R7" s="16"/>
      <c r="S7" s="16"/>
      <c r="T7" s="16"/>
      <c r="U7" s="16"/>
      <c r="V7" s="16"/>
      <c r="W7" s="16"/>
      <c r="X7" s="16"/>
      <c r="Y7" s="16"/>
      <c r="Z7" s="16"/>
      <c r="AA7" s="16"/>
    </row>
    <row r="8" spans="1:27" x14ac:dyDescent="0.3">
      <c r="A8" s="98" t="s">
        <v>480</v>
      </c>
      <c r="B8" s="74">
        <f>'Annual Cash Flow Reported'!B8/'Annual Cash Flow US$'!B$7</f>
        <v>689.19325561304231</v>
      </c>
      <c r="C8" s="74">
        <f>'Annual Cash Flow Reported'!C8/'Annual Cash Flow US$'!C$7</f>
        <v>521.82882800885898</v>
      </c>
      <c r="D8" s="74">
        <f>'Annual Cash Flow Reported'!D8/'Annual Cash Flow US$'!D$7</f>
        <v>429.15449561842263</v>
      </c>
      <c r="E8" s="74">
        <f>'Annual Cash Flow Reported'!E8/'Annual Cash Flow US$'!E$7</f>
        <v>649.6407069333851</v>
      </c>
      <c r="F8" s="74">
        <f>'Annual Cash Flow Reported'!F8/'Annual Cash Flow US$'!F$7</f>
        <v>792.73565869126548</v>
      </c>
      <c r="G8" s="74">
        <f>'Annual Cash Flow Reported'!G8/'Annual Cash Flow US$'!G$7</f>
        <v>1402.596996000407</v>
      </c>
      <c r="H8" s="74">
        <f>'Annual Cash Flow Reported'!H8/'Annual Cash Flow US$'!H$7</f>
        <v>1568.7724487639975</v>
      </c>
      <c r="I8" s="74">
        <f>'Annual Cash Flow Reported'!I8/'Annual Cash Flow US$'!I$7</f>
        <v>2109.1897064858163</v>
      </c>
      <c r="J8" s="74">
        <f>'Annual Cash Flow Reported'!J8/'Annual Cash Flow US$'!J$7</f>
        <v>2677.5352319520935</v>
      </c>
      <c r="K8" s="74">
        <f>'Annual Cash Flow Reported'!K8/'Annual Cash Flow US$'!K$7</f>
        <v>4304.7705177481348</v>
      </c>
      <c r="L8" s="74">
        <f>'Annual Cash Flow Reported'!L8/'Annual Cash Flow US$'!L$7</f>
        <v>-1788.6055262057694</v>
      </c>
      <c r="M8" s="74">
        <f>'Annual Cash Flow Reported'!M8/'Annual Cash Flow US$'!M$7</f>
        <v>-2384.5539888259664</v>
      </c>
    </row>
    <row r="9" spans="1:27" x14ac:dyDescent="0.3">
      <c r="A9" s="64" t="s">
        <v>184</v>
      </c>
      <c r="B9" s="58">
        <f>'Annual Cash Flow Reported'!B9/'Annual Cash Flow US$'!B$7</f>
        <v>0</v>
      </c>
      <c r="C9" s="58">
        <f>'Annual Cash Flow Reported'!C9/'Annual Cash Flow US$'!C$7</f>
        <v>0</v>
      </c>
      <c r="D9" s="58">
        <f>'Annual Cash Flow Reported'!D9/'Annual Cash Flow US$'!D$7</f>
        <v>0</v>
      </c>
      <c r="E9" s="58">
        <f>'Annual Cash Flow Reported'!E9/'Annual Cash Flow US$'!E$7</f>
        <v>0</v>
      </c>
      <c r="F9" s="58">
        <f>'Annual Cash Flow Reported'!F9/'Annual Cash Flow US$'!F$7</f>
        <v>0</v>
      </c>
      <c r="G9" s="58">
        <f>'Annual Cash Flow Reported'!G9/'Annual Cash Flow US$'!G$7</f>
        <v>0</v>
      </c>
      <c r="H9" s="58">
        <f>'Annual Cash Flow Reported'!H9/'Annual Cash Flow US$'!H$7</f>
        <v>0</v>
      </c>
      <c r="I9" s="58">
        <f>'Annual Cash Flow Reported'!I9/'Annual Cash Flow US$'!I$7</f>
        <v>0</v>
      </c>
      <c r="J9" s="58">
        <f>'Annual Cash Flow Reported'!J9/'Annual Cash Flow US$'!J$7</f>
        <v>0</v>
      </c>
      <c r="K9" s="58">
        <f>'Annual Cash Flow Reported'!K9/'Annual Cash Flow US$'!K$7</f>
        <v>0</v>
      </c>
      <c r="L9" s="58">
        <f>'Annual Cash Flow Reported'!L9/'Annual Cash Flow US$'!L$7</f>
        <v>0</v>
      </c>
      <c r="M9" s="58">
        <f>'Annual Cash Flow Reported'!M9/'Annual Cash Flow US$'!M$7</f>
        <v>0</v>
      </c>
    </row>
    <row r="10" spans="1:27" x14ac:dyDescent="0.3">
      <c r="A10" s="64" t="s">
        <v>185</v>
      </c>
      <c r="B10" s="58">
        <f>'Annual Cash Flow Reported'!B10/'Annual Cash Flow US$'!B$7</f>
        <v>0</v>
      </c>
      <c r="C10" s="58">
        <f>'Annual Cash Flow Reported'!C10/'Annual Cash Flow US$'!C$7</f>
        <v>0</v>
      </c>
      <c r="D10" s="58">
        <f>'Annual Cash Flow Reported'!D10/'Annual Cash Flow US$'!D$7</f>
        <v>0</v>
      </c>
      <c r="E10" s="58">
        <f>'Annual Cash Flow Reported'!E10/'Annual Cash Flow US$'!E$7</f>
        <v>0</v>
      </c>
      <c r="F10" s="58">
        <f>'Annual Cash Flow Reported'!F10/'Annual Cash Flow US$'!F$7</f>
        <v>0</v>
      </c>
      <c r="G10" s="58">
        <f>'Annual Cash Flow Reported'!G10/'Annual Cash Flow US$'!G$7</f>
        <v>0</v>
      </c>
      <c r="H10" s="58">
        <f>'Annual Cash Flow Reported'!H10/'Annual Cash Flow US$'!H$7</f>
        <v>0</v>
      </c>
      <c r="I10" s="58">
        <f>'Annual Cash Flow Reported'!I10/'Annual Cash Flow US$'!I$7</f>
        <v>0</v>
      </c>
      <c r="J10" s="58">
        <f>'Annual Cash Flow Reported'!J10/'Annual Cash Flow US$'!J$7</f>
        <v>0</v>
      </c>
      <c r="K10" s="58">
        <f>'Annual Cash Flow Reported'!K10/'Annual Cash Flow US$'!K$7</f>
        <v>0</v>
      </c>
      <c r="L10" s="58">
        <f>'Annual Cash Flow Reported'!L10/'Annual Cash Flow US$'!L$7</f>
        <v>0</v>
      </c>
      <c r="M10" s="58">
        <f>'Annual Cash Flow Reported'!M10/'Annual Cash Flow US$'!M$7</f>
        <v>0</v>
      </c>
    </row>
    <row r="11" spans="1:27" x14ac:dyDescent="0.3">
      <c r="A11" s="64" t="s">
        <v>186</v>
      </c>
      <c r="B11" s="60">
        <f>'Annual Cash Flow Reported'!B11/'Annual Cash Flow US$'!B$7</f>
        <v>0</v>
      </c>
      <c r="C11" s="60">
        <f>'Annual Cash Flow Reported'!C11/'Annual Cash Flow US$'!C$7</f>
        <v>0</v>
      </c>
      <c r="D11" s="60">
        <f>'Annual Cash Flow Reported'!D11/'Annual Cash Flow US$'!D$7</f>
        <v>0</v>
      </c>
      <c r="E11" s="60">
        <f>'Annual Cash Flow Reported'!E11/'Annual Cash Flow US$'!E$7</f>
        <v>0</v>
      </c>
      <c r="F11" s="60">
        <f>'Annual Cash Flow Reported'!F11/'Annual Cash Flow US$'!F$7</f>
        <v>0</v>
      </c>
      <c r="G11" s="60">
        <f>'Annual Cash Flow Reported'!G11/'Annual Cash Flow US$'!G$7</f>
        <v>0</v>
      </c>
      <c r="H11" s="60">
        <f>'Annual Cash Flow Reported'!H11/'Annual Cash Flow US$'!H$7</f>
        <v>0</v>
      </c>
      <c r="I11" s="60">
        <f>'Annual Cash Flow Reported'!I11/'Annual Cash Flow US$'!I$7</f>
        <v>0</v>
      </c>
      <c r="J11" s="60">
        <f>'Annual Cash Flow Reported'!J11/'Annual Cash Flow US$'!J$7</f>
        <v>0</v>
      </c>
      <c r="K11" s="60">
        <f>'Annual Cash Flow Reported'!K11/'Annual Cash Flow US$'!K$7</f>
        <v>0</v>
      </c>
      <c r="L11" s="60">
        <f>'Annual Cash Flow Reported'!L11/'Annual Cash Flow US$'!L$7</f>
        <v>0</v>
      </c>
      <c r="M11" s="60">
        <f>'Annual Cash Flow Reported'!M11/'Annual Cash Flow US$'!M$7</f>
        <v>556.42126867089814</v>
      </c>
    </row>
    <row r="12" spans="1:27" x14ac:dyDescent="0.3">
      <c r="A12" s="14" t="s">
        <v>187</v>
      </c>
      <c r="B12" s="23">
        <f t="shared" ref="B12:M12" si="0">SUM(B9:B11)</f>
        <v>0</v>
      </c>
      <c r="C12" s="23">
        <f t="shared" si="0"/>
        <v>0</v>
      </c>
      <c r="D12" s="23">
        <f t="shared" si="0"/>
        <v>0</v>
      </c>
      <c r="E12" s="23">
        <f t="shared" si="0"/>
        <v>0</v>
      </c>
      <c r="F12" s="23">
        <f t="shared" si="0"/>
        <v>0</v>
      </c>
      <c r="G12" s="23">
        <f t="shared" si="0"/>
        <v>0</v>
      </c>
      <c r="H12" s="23">
        <f t="shared" si="0"/>
        <v>0</v>
      </c>
      <c r="I12" s="23">
        <f t="shared" ref="I12:J12" si="1">SUM(I9:I11)</f>
        <v>0</v>
      </c>
      <c r="J12" s="23">
        <f t="shared" si="1"/>
        <v>0</v>
      </c>
      <c r="K12" s="23">
        <f t="shared" ref="K12:L12" si="2">SUM(K9:K11)</f>
        <v>0</v>
      </c>
      <c r="L12" s="23">
        <f t="shared" si="2"/>
        <v>0</v>
      </c>
      <c r="M12" s="23">
        <f t="shared" si="0"/>
        <v>556.42126867089814</v>
      </c>
    </row>
    <row r="13" spans="1:27" x14ac:dyDescent="0.3">
      <c r="A13" s="14" t="s">
        <v>188</v>
      </c>
      <c r="B13" s="22">
        <f t="shared" ref="B13:M13" si="3">B8+B12</f>
        <v>689.19325561304231</v>
      </c>
      <c r="C13" s="22">
        <f t="shared" si="3"/>
        <v>521.82882800885898</v>
      </c>
      <c r="D13" s="22">
        <f t="shared" si="3"/>
        <v>429.15449561842263</v>
      </c>
      <c r="E13" s="22">
        <f t="shared" si="3"/>
        <v>649.6407069333851</v>
      </c>
      <c r="F13" s="22">
        <f t="shared" si="3"/>
        <v>792.73565869126548</v>
      </c>
      <c r="G13" s="22">
        <f t="shared" si="3"/>
        <v>1402.596996000407</v>
      </c>
      <c r="H13" s="22">
        <f t="shared" si="3"/>
        <v>1568.7724487639975</v>
      </c>
      <c r="I13" s="22">
        <f t="shared" ref="I13:J13" si="4">I8+I12</f>
        <v>2109.1897064858163</v>
      </c>
      <c r="J13" s="22">
        <f t="shared" si="4"/>
        <v>2677.5352319520935</v>
      </c>
      <c r="K13" s="22">
        <f t="shared" ref="K13:L13" si="5">K8+K12</f>
        <v>4304.7705177481348</v>
      </c>
      <c r="L13" s="22">
        <f t="shared" si="5"/>
        <v>-1788.6055262057694</v>
      </c>
      <c r="M13" s="22">
        <f t="shared" si="3"/>
        <v>-1828.1327201550682</v>
      </c>
    </row>
    <row r="14" spans="1:27" x14ac:dyDescent="0.3">
      <c r="A14" s="64" t="s">
        <v>189</v>
      </c>
      <c r="B14" s="58">
        <f>'Annual Cash Flow Reported'!B14/'Annual Cash Flow US$'!B$7</f>
        <v>-114.5419776934352</v>
      </c>
      <c r="C14" s="58">
        <f>'Annual Cash Flow Reported'!C14/'Annual Cash Flow US$'!C$7</f>
        <v>-222.48515922858329</v>
      </c>
      <c r="D14" s="58">
        <f>'Annual Cash Flow Reported'!D14/'Annual Cash Flow US$'!D$7</f>
        <v>-462.16637989676286</v>
      </c>
      <c r="E14" s="58">
        <f>'Annual Cash Flow Reported'!E14/'Annual Cash Flow US$'!E$7</f>
        <v>-934.16197319867933</v>
      </c>
      <c r="F14" s="58">
        <f>'Annual Cash Flow Reported'!F14/'Annual Cash Flow US$'!F$7</f>
        <v>-1442.2984529643509</v>
      </c>
      <c r="G14" s="58">
        <f>'Annual Cash Flow Reported'!G14/'Annual Cash Flow US$'!G$7</f>
        <v>-1420.5990779803228</v>
      </c>
      <c r="H14" s="58">
        <f>'Annual Cash Flow Reported'!H14/'Annual Cash Flow US$'!H$7</f>
        <v>-2204.1290634149286</v>
      </c>
      <c r="I14" s="58">
        <f>'Annual Cash Flow Reported'!I14/'Annual Cash Flow US$'!I$7</f>
        <v>-1865.7624065407767</v>
      </c>
      <c r="J14" s="58">
        <f>'Annual Cash Flow Reported'!J14/'Annual Cash Flow US$'!J$7</f>
        <v>-1879.6760302695386</v>
      </c>
      <c r="K14" s="58">
        <f>'Annual Cash Flow Reported'!K14/'Annual Cash Flow US$'!K$7</f>
        <v>-1526.1134976260457</v>
      </c>
      <c r="L14" s="58">
        <f>'Annual Cash Flow Reported'!L14/'Annual Cash Flow US$'!L$7</f>
        <v>-913.68629090494471</v>
      </c>
      <c r="M14" s="58">
        <f>'Annual Cash Flow Reported'!M14/'Annual Cash Flow US$'!M$7</f>
        <v>-782.94249553418717</v>
      </c>
    </row>
    <row r="15" spans="1:27" x14ac:dyDescent="0.3">
      <c r="A15" s="64" t="s">
        <v>190</v>
      </c>
      <c r="B15" s="58">
        <f>'Annual Cash Flow Reported'!B15/'Annual Cash Flow US$'!B$7</f>
        <v>28.150147060251022</v>
      </c>
      <c r="C15" s="58">
        <f>'Annual Cash Flow Reported'!C15/'Annual Cash Flow US$'!C$7</f>
        <v>6.067777069870453</v>
      </c>
      <c r="D15" s="58">
        <f>'Annual Cash Flow Reported'!D15/'Annual Cash Flow US$'!D$7</f>
        <v>50.018006482333639</v>
      </c>
      <c r="E15" s="58">
        <f>'Annual Cash Flow Reported'!E15/'Annual Cash Flow US$'!E$7</f>
        <v>67.974363954165852</v>
      </c>
      <c r="F15" s="58">
        <f>'Annual Cash Flow Reported'!F15/'Annual Cash Flow US$'!F$7</f>
        <v>69.184202940328632</v>
      </c>
      <c r="G15" s="58">
        <f>'Annual Cash Flow Reported'!G15/'Annual Cash Flow US$'!G$7</f>
        <v>18.002081979915939</v>
      </c>
      <c r="H15" s="58">
        <f>'Annual Cash Flow Reported'!H15/'Annual Cash Flow US$'!H$7</f>
        <v>265.6122664573964</v>
      </c>
      <c r="I15" s="58">
        <f>'Annual Cash Flow Reported'!I15/'Annual Cash Flow US$'!I$7</f>
        <v>3.8516977839404971</v>
      </c>
      <c r="J15" s="58">
        <f>'Annual Cash Flow Reported'!J15/'Annual Cash Flow US$'!J$7</f>
        <v>8.4878638476867501</v>
      </c>
      <c r="K15" s="58">
        <f>'Annual Cash Flow Reported'!K15/'Annual Cash Flow US$'!K$7</f>
        <v>18.087271082975356</v>
      </c>
      <c r="L15" s="58">
        <f>'Annual Cash Flow Reported'!L15/'Annual Cash Flow US$'!L$7</f>
        <v>9.1216601421458705</v>
      </c>
      <c r="M15" s="58">
        <f>'Annual Cash Flow Reported'!M15/'Annual Cash Flow US$'!M$7</f>
        <v>16.723043593934097</v>
      </c>
    </row>
    <row r="16" spans="1:27" x14ac:dyDescent="0.3">
      <c r="A16" s="64" t="s">
        <v>191</v>
      </c>
      <c r="B16" s="58">
        <f>'Annual Cash Flow Reported'!B16/'Annual Cash Flow US$'!B$7</f>
        <v>0</v>
      </c>
      <c r="C16" s="58">
        <f>'Annual Cash Flow Reported'!C16/'Annual Cash Flow US$'!C$7</f>
        <v>0</v>
      </c>
      <c r="D16" s="58">
        <f>'Annual Cash Flow Reported'!D16/'Annual Cash Flow US$'!D$7</f>
        <v>0</v>
      </c>
      <c r="E16" s="58">
        <f>'Annual Cash Flow Reported'!E16/'Annual Cash Flow US$'!E$7</f>
        <v>0</v>
      </c>
      <c r="F16" s="58">
        <f>'Annual Cash Flow Reported'!F16/'Annual Cash Flow US$'!F$7</f>
        <v>0</v>
      </c>
      <c r="G16" s="58">
        <f>'Annual Cash Flow Reported'!G16/'Annual Cash Flow US$'!G$7</f>
        <v>0</v>
      </c>
      <c r="H16" s="58">
        <f>'Annual Cash Flow Reported'!H16/'Annual Cash Flow US$'!H$7</f>
        <v>0</v>
      </c>
      <c r="I16" s="58">
        <f>'Annual Cash Flow Reported'!I16/'Annual Cash Flow US$'!I$7</f>
        <v>0</v>
      </c>
      <c r="J16" s="58">
        <f>'Annual Cash Flow Reported'!J16/'Annual Cash Flow US$'!J$7</f>
        <v>0</v>
      </c>
      <c r="K16" s="58">
        <f>'Annual Cash Flow Reported'!K16/'Annual Cash Flow US$'!K$7</f>
        <v>0</v>
      </c>
      <c r="L16" s="58">
        <f>'Annual Cash Flow Reported'!L16/'Annual Cash Flow US$'!L$7</f>
        <v>0</v>
      </c>
      <c r="M16" s="58">
        <f>'Annual Cash Flow Reported'!M16/'Annual Cash Flow US$'!M$7</f>
        <v>0</v>
      </c>
    </row>
    <row r="17" spans="1:13" x14ac:dyDescent="0.3">
      <c r="A17" s="64" t="s">
        <v>192</v>
      </c>
      <c r="B17" s="58">
        <f>'Annual Cash Flow Reported'!B17/'Annual Cash Flow US$'!B$7</f>
        <v>0</v>
      </c>
      <c r="C17" s="58">
        <f>'Annual Cash Flow Reported'!C17/'Annual Cash Flow US$'!C$7</f>
        <v>0</v>
      </c>
      <c r="D17" s="58">
        <f>'Annual Cash Flow Reported'!D17/'Annual Cash Flow US$'!D$7</f>
        <v>0</v>
      </c>
      <c r="E17" s="58">
        <f>'Annual Cash Flow Reported'!E17/'Annual Cash Flow US$'!E$7</f>
        <v>0</v>
      </c>
      <c r="F17" s="58">
        <f>'Annual Cash Flow Reported'!F17/'Annual Cash Flow US$'!F$7</f>
        <v>0</v>
      </c>
      <c r="G17" s="58">
        <f>'Annual Cash Flow Reported'!G17/'Annual Cash Flow US$'!G$7</f>
        <v>0</v>
      </c>
      <c r="H17" s="58">
        <f>'Annual Cash Flow Reported'!H17/'Annual Cash Flow US$'!H$7</f>
        <v>0</v>
      </c>
      <c r="I17" s="58">
        <f>'Annual Cash Flow Reported'!I17/'Annual Cash Flow US$'!I$7</f>
        <v>0</v>
      </c>
      <c r="J17" s="58">
        <f>'Annual Cash Flow Reported'!J17/'Annual Cash Flow US$'!J$7</f>
        <v>0</v>
      </c>
      <c r="K17" s="58">
        <f>'Annual Cash Flow Reported'!K17/'Annual Cash Flow US$'!K$7</f>
        <v>-462.73268520611953</v>
      </c>
      <c r="L17" s="58">
        <f>'Annual Cash Flow Reported'!L17/'Annual Cash Flow US$'!L$7</f>
        <v>0</v>
      </c>
      <c r="M17" s="58">
        <f>'Annual Cash Flow Reported'!M17/'Annual Cash Flow US$'!M$7</f>
        <v>-225.00095017293148</v>
      </c>
    </row>
    <row r="18" spans="1:13" x14ac:dyDescent="0.3">
      <c r="A18" s="64" t="s">
        <v>193</v>
      </c>
      <c r="B18" s="58">
        <f>'Annual Cash Flow Reported'!B18/'Annual Cash Flow US$'!B$7</f>
        <v>0</v>
      </c>
      <c r="C18" s="58">
        <f>'Annual Cash Flow Reported'!C18/'Annual Cash Flow US$'!C$7</f>
        <v>0</v>
      </c>
      <c r="D18" s="58">
        <f>'Annual Cash Flow Reported'!D18/'Annual Cash Flow US$'!D$7</f>
        <v>0</v>
      </c>
      <c r="E18" s="58">
        <f>'Annual Cash Flow Reported'!E18/'Annual Cash Flow US$'!E$7</f>
        <v>0</v>
      </c>
      <c r="F18" s="58">
        <f>'Annual Cash Flow Reported'!F18/'Annual Cash Flow US$'!F$7</f>
        <v>0</v>
      </c>
      <c r="G18" s="58">
        <f>'Annual Cash Flow Reported'!G18/'Annual Cash Flow US$'!G$7</f>
        <v>0</v>
      </c>
      <c r="H18" s="58">
        <f>'Annual Cash Flow Reported'!H18/'Annual Cash Flow US$'!H$7</f>
        <v>0</v>
      </c>
      <c r="I18" s="58">
        <f>'Annual Cash Flow Reported'!I18/'Annual Cash Flow US$'!I$7</f>
        <v>0</v>
      </c>
      <c r="J18" s="58">
        <f>'Annual Cash Flow Reported'!J18/'Annual Cash Flow US$'!J$7</f>
        <v>0</v>
      </c>
      <c r="K18" s="58">
        <f>'Annual Cash Flow Reported'!K18/'Annual Cash Flow US$'!K$7</f>
        <v>0</v>
      </c>
      <c r="L18" s="58">
        <f>'Annual Cash Flow Reported'!L18/'Annual Cash Flow US$'!L$7</f>
        <v>0</v>
      </c>
      <c r="M18" s="58">
        <f>'Annual Cash Flow Reported'!M18/'Annual Cash Flow US$'!M$7</f>
        <v>0</v>
      </c>
    </row>
    <row r="19" spans="1:13" x14ac:dyDescent="0.3">
      <c r="A19" s="64" t="s">
        <v>194</v>
      </c>
      <c r="B19" s="58">
        <f>'Annual Cash Flow Reported'!B19/'Annual Cash Flow US$'!B$7</f>
        <v>-786.2627282345976</v>
      </c>
      <c r="C19" s="58">
        <f>'Annual Cash Flow Reported'!C19/'Annual Cash Flow US$'!C$7</f>
        <v>-140.57016878533216</v>
      </c>
      <c r="D19" s="58">
        <f>'Annual Cash Flow Reported'!D19/'Annual Cash Flow US$'!D$7</f>
        <v>-22.007922852226802</v>
      </c>
      <c r="E19" s="58">
        <f>'Annual Cash Flow Reported'!E19/'Annual Cash Flow US$'!E$7</f>
        <v>-203.92309186249756</v>
      </c>
      <c r="F19" s="58">
        <f>'Annual Cash Flow Reported'!F19/'Annual Cash Flow US$'!F$7</f>
        <v>-96.089170750456432</v>
      </c>
      <c r="G19" s="58">
        <f>'Annual Cash Flow Reported'!G19/'Annual Cash Flow US$'!G$7</f>
        <v>-311.51428817419753</v>
      </c>
      <c r="H19" s="58">
        <f>'Annual Cash Flow Reported'!H19/'Annual Cash Flow US$'!H$7</f>
        <v>-74.703449941142736</v>
      </c>
      <c r="I19" s="58">
        <f>'Annual Cash Flow Reported'!I19/'Annual Cash Flow US$'!I$7</f>
        <v>-768.79887767452328</v>
      </c>
      <c r="J19" s="58">
        <f>'Annual Cash Flow Reported'!J19/'Annual Cash Flow US$'!J$7</f>
        <v>-654.33714025803317</v>
      </c>
      <c r="K19" s="58">
        <f>'Annual Cash Flow Reported'!K19/'Annual Cash Flow US$'!K$7</f>
        <v>-192.17725525661317</v>
      </c>
      <c r="L19" s="58">
        <f>'Annual Cash Flow Reported'!L19/'Annual Cash Flow US$'!L$7</f>
        <v>-47.888715746265824</v>
      </c>
      <c r="M19" s="58">
        <f>'Annual Cash Flow Reported'!M19/'Annual Cash Flow US$'!M$7</f>
        <v>270.60925088366082</v>
      </c>
    </row>
    <row r="20" spans="1:13" x14ac:dyDescent="0.3">
      <c r="A20" s="64" t="s">
        <v>195</v>
      </c>
      <c r="B20" s="58">
        <f>'Annual Cash Flow Reported'!B20/'Annual Cash Flow US$'!B$7</f>
        <v>0</v>
      </c>
      <c r="C20" s="58">
        <f>'Annual Cash Flow Reported'!C20/'Annual Cash Flow US$'!C$7</f>
        <v>0</v>
      </c>
      <c r="D20" s="58">
        <f>'Annual Cash Flow Reported'!D20/'Annual Cash Flow US$'!D$7</f>
        <v>0</v>
      </c>
      <c r="E20" s="58">
        <f>'Annual Cash Flow Reported'!E20/'Annual Cash Flow US$'!E$7</f>
        <v>0</v>
      </c>
      <c r="F20" s="58">
        <f>'Annual Cash Flow Reported'!F20/'Annual Cash Flow US$'!F$7</f>
        <v>0</v>
      </c>
      <c r="G20" s="58">
        <f>'Annual Cash Flow Reported'!G20/'Annual Cash Flow US$'!G$7</f>
        <v>0</v>
      </c>
      <c r="H20" s="58">
        <f>'Annual Cash Flow Reported'!H20/'Annual Cash Flow US$'!H$7</f>
        <v>0</v>
      </c>
      <c r="I20" s="58">
        <f>'Annual Cash Flow Reported'!I20/'Annual Cash Flow US$'!I$7</f>
        <v>0</v>
      </c>
      <c r="J20" s="58">
        <f>'Annual Cash Flow Reported'!J20/'Annual Cash Flow US$'!J$7</f>
        <v>0</v>
      </c>
      <c r="K20" s="58">
        <f>'Annual Cash Flow Reported'!K20/'Annual Cash Flow US$'!K$7</f>
        <v>0</v>
      </c>
      <c r="L20" s="58">
        <f>'Annual Cash Flow Reported'!L20/'Annual Cash Flow US$'!L$7</f>
        <v>0</v>
      </c>
      <c r="M20" s="58">
        <f>'Annual Cash Flow Reported'!M20/'Annual Cash Flow US$'!M$7</f>
        <v>0</v>
      </c>
    </row>
    <row r="21" spans="1:13" x14ac:dyDescent="0.3">
      <c r="A21" s="64" t="s">
        <v>196</v>
      </c>
      <c r="B21" s="60">
        <f>'Annual Cash Flow Reported'!B21/'Annual Cash Flow US$'!B$7</f>
        <v>-16.501810345664392</v>
      </c>
      <c r="C21" s="60">
        <f>'Annual Cash Flow Reported'!C21/'Annual Cash Flow US$'!C$7</f>
        <v>-37.417958597534458</v>
      </c>
      <c r="D21" s="60">
        <f>'Annual Cash Flow Reported'!D21/'Annual Cash Flow US$'!D$7</f>
        <v>32.011524148693532</v>
      </c>
      <c r="E21" s="60">
        <f>'Annual Cash Flow Reported'!E21/'Annual Cash Flow US$'!E$7</f>
        <v>39.813556030297143</v>
      </c>
      <c r="F21" s="60">
        <f>'Annual Cash Flow Reported'!F21/'Annual Cash Flow US$'!F$7</f>
        <v>-2.8826751225136928</v>
      </c>
      <c r="G21" s="60">
        <f>'Annual Cash Flow Reported'!G21/'Annual Cash Flow US$'!G$7</f>
        <v>1.5653984330361685</v>
      </c>
      <c r="H21" s="60">
        <f>'Annual Cash Flow Reported'!H21/'Annual Cash Flow US$'!H$7</f>
        <v>-6.7912227219220673</v>
      </c>
      <c r="I21" s="60">
        <f>'Annual Cash Flow Reported'!I21/'Annual Cash Flow US$'!I$7</f>
        <v>-12.32543290860959</v>
      </c>
      <c r="J21" s="60">
        <f>'Annual Cash Flow Reported'!J21/'Annual Cash Flow US$'!J$7</f>
        <v>36.266327349207025</v>
      </c>
      <c r="K21" s="60">
        <f>'Annual Cash Flow Reported'!K21/'Annual Cash Flow US$'!K$7</f>
        <v>56.522722134297986</v>
      </c>
      <c r="L21" s="60">
        <f>'Annual Cash Flow Reported'!L21/'Annual Cash Flow US$'!L$7</f>
        <v>26.604842081258788</v>
      </c>
      <c r="M21" s="60">
        <f>'Annual Cash Flow Reported'!M21/'Annual Cash Flow US$'!M$7</f>
        <v>6.8412451066094029</v>
      </c>
    </row>
    <row r="22" spans="1:13" x14ac:dyDescent="0.3">
      <c r="A22" s="14" t="s">
        <v>197</v>
      </c>
      <c r="B22" s="22">
        <f t="shared" ref="B22:M22" si="6">SUM(B14:B21)</f>
        <v>-889.15636921344617</v>
      </c>
      <c r="C22" s="22">
        <f t="shared" si="6"/>
        <v>-394.40550954157942</v>
      </c>
      <c r="D22" s="22">
        <f t="shared" si="6"/>
        <v>-402.14477211796248</v>
      </c>
      <c r="E22" s="22">
        <f t="shared" si="6"/>
        <v>-1030.2971450767138</v>
      </c>
      <c r="F22" s="22">
        <f t="shared" si="6"/>
        <v>-1472.0860958969924</v>
      </c>
      <c r="G22" s="22">
        <f t="shared" si="6"/>
        <v>-1712.5458857415683</v>
      </c>
      <c r="H22" s="22">
        <f t="shared" si="6"/>
        <v>-2020.0114696205972</v>
      </c>
      <c r="I22" s="22">
        <f t="shared" ref="I22:J22" si="7">SUM(I14:I21)</f>
        <v>-2643.035019339969</v>
      </c>
      <c r="J22" s="22">
        <f t="shared" si="7"/>
        <v>-2489.2589793306779</v>
      </c>
      <c r="K22" s="22">
        <f t="shared" ref="K22:L22" si="8">SUM(K14:K21)</f>
        <v>-2106.4134448715049</v>
      </c>
      <c r="L22" s="22">
        <f t="shared" si="8"/>
        <v>-925.84850442780589</v>
      </c>
      <c r="M22" s="22">
        <f t="shared" si="6"/>
        <v>-713.76990612291422</v>
      </c>
    </row>
    <row r="23" spans="1:13" x14ac:dyDescent="0.3">
      <c r="A23" s="64" t="s">
        <v>198</v>
      </c>
      <c r="B23" s="58">
        <f>'Annual Cash Flow Reported'!B23/'Annual Cash Flow US$'!B$7</f>
        <v>1.9413894524311051</v>
      </c>
      <c r="C23" s="58">
        <f>'Annual Cash Flow Reported'!C23/'Annual Cash Flow US$'!C$7</f>
        <v>0</v>
      </c>
      <c r="D23" s="58">
        <f>'Annual Cash Flow Reported'!D23/'Annual Cash Flow US$'!D$7</f>
        <v>0</v>
      </c>
      <c r="E23" s="58">
        <f>'Annual Cash Flow Reported'!E23/'Annual Cash Flow US$'!E$7</f>
        <v>13.59487279083317</v>
      </c>
      <c r="F23" s="58">
        <f>'Annual Cash Flow Reported'!F23/'Annual Cash Flow US$'!F$7</f>
        <v>0.96089170750456432</v>
      </c>
      <c r="G23" s="58">
        <f>'Annual Cash Flow Reported'!G23/'Annual Cash Flow US$'!G$7</f>
        <v>3.1307968660723371</v>
      </c>
      <c r="H23" s="58">
        <f>'Annual Cash Flow Reported'!H23/'Annual Cash Flow US$'!H$7</f>
        <v>1.5091606048715704</v>
      </c>
      <c r="I23" s="58">
        <f>'Annual Cash Flow Reported'!I23/'Annual Cash Flow US$'!I$7</f>
        <v>6.9330560110928952</v>
      </c>
      <c r="J23" s="58">
        <f>'Annual Cash Flow Reported'!J23/'Annual Cash Flow US$'!J$7</f>
        <v>3.8581199307667049</v>
      </c>
      <c r="K23" s="58">
        <f>'Annual Cash Flow Reported'!K23/'Annual Cash Flow US$'!K$7</f>
        <v>6.7827266561157584</v>
      </c>
      <c r="L23" s="58">
        <f>'Annual Cash Flow Reported'!L23/'Annual Cash Flow US$'!L$7</f>
        <v>1040.629394549808</v>
      </c>
      <c r="M23" s="58">
        <f>'Annual Cash Flow Reported'!M23/'Annual Cash Flow US$'!M$7</f>
        <v>1040.629394549808</v>
      </c>
    </row>
    <row r="24" spans="1:13" x14ac:dyDescent="0.3">
      <c r="A24" s="64" t="s">
        <v>199</v>
      </c>
      <c r="B24" s="58">
        <f>'Annual Cash Flow Reported'!B24/'Annual Cash Flow US$'!B$7</f>
        <v>0</v>
      </c>
      <c r="C24" s="58">
        <f>'Annual Cash Flow Reported'!C24/'Annual Cash Flow US$'!C$7</f>
        <v>0</v>
      </c>
      <c r="D24" s="58">
        <f>'Annual Cash Flow Reported'!D24/'Annual Cash Flow US$'!D$7</f>
        <v>-5.0018006482333641</v>
      </c>
      <c r="E24" s="58">
        <f>'Annual Cash Flow Reported'!E24/'Annual Cash Flow US$'!E$7</f>
        <v>0</v>
      </c>
      <c r="F24" s="58">
        <f>'Annual Cash Flow Reported'!F24/'Annual Cash Flow US$'!F$7</f>
        <v>0</v>
      </c>
      <c r="G24" s="58">
        <f>'Annual Cash Flow Reported'!G24/'Annual Cash Flow US$'!G$7</f>
        <v>-49.310050640639304</v>
      </c>
      <c r="H24" s="58">
        <f>'Annual Cash Flow Reported'!H24/'Annual Cash Flow US$'!H$7</f>
        <v>-70.930548428963817</v>
      </c>
      <c r="I24" s="58">
        <f>'Annual Cash Flow Reported'!I24/'Annual Cash Flow US$'!I$7</f>
        <v>-54.69410853195506</v>
      </c>
      <c r="J24" s="58">
        <f>'Annual Cash Flow Reported'!J24/'Annual Cash Flow US$'!J$7</f>
        <v>-56.328550989193893</v>
      </c>
      <c r="K24" s="58">
        <f>'Annual Cash Flow Reported'!K24/'Annual Cash Flow US$'!K$7</f>
        <v>-281.10633808124197</v>
      </c>
      <c r="L24" s="58">
        <f>'Annual Cash Flow Reported'!L24/'Annual Cash Flow US$'!L$7</f>
        <v>-100.33826156360458</v>
      </c>
      <c r="M24" s="58">
        <f>'Annual Cash Flow Reported'!M24/'Annual Cash Flow US$'!M$7</f>
        <v>0</v>
      </c>
    </row>
    <row r="25" spans="1:13" x14ac:dyDescent="0.3">
      <c r="A25" s="64" t="s">
        <v>200</v>
      </c>
      <c r="B25" s="58">
        <f>'Annual Cash Flow Reported'!B25/'Annual Cash Flow US$'!B$7</f>
        <v>1140.5663033032743</v>
      </c>
      <c r="C25" s="58">
        <f>'Annual Cash Flow Reported'!C25/'Annual Cash Flow US$'!C$7</f>
        <v>234.62071336832418</v>
      </c>
      <c r="D25" s="58">
        <f>'Annual Cash Flow Reported'!D25/'Annual Cash Flow US$'!D$7</f>
        <v>126.04537633548078</v>
      </c>
      <c r="E25" s="58">
        <f>'Annual Cash Flow Reported'!E25/'Annual Cash Flow US$'!E$7</f>
        <v>1915.9060011652748</v>
      </c>
      <c r="F25" s="58">
        <f>'Annual Cash Flow Reported'!F25/'Annual Cash Flow US$'!F$7</f>
        <v>1131.9304314403767</v>
      </c>
      <c r="G25" s="58">
        <f>'Annual Cash Flow Reported'!G25/'Annual Cash Flow US$'!G$7</f>
        <v>708.3427909488662</v>
      </c>
      <c r="H25" s="58">
        <f>'Annual Cash Flow Reported'!H25/'Annual Cash Flow US$'!H$7</f>
        <v>1915.1248075820229</v>
      </c>
      <c r="I25" s="58">
        <f>'Annual Cash Flow Reported'!I25/'Annual Cash Flow US$'!I$7</f>
        <v>564.65889512567685</v>
      </c>
      <c r="J25" s="58">
        <f>'Annual Cash Flow Reported'!J25/'Annual Cash Flow US$'!J$7</f>
        <v>933.66502324554256</v>
      </c>
      <c r="K25" s="58">
        <f>'Annual Cash Flow Reported'!K25/'Annual Cash Flow US$'!K$7</f>
        <v>0</v>
      </c>
      <c r="L25" s="58">
        <f>'Annual Cash Flow Reported'!L25/'Annual Cash Flow US$'!L$7</f>
        <v>4700.6955265858387</v>
      </c>
      <c r="M25" s="58">
        <f>'Annual Cash Flow Reported'!M25/'Annual Cash Flow US$'!M$7</f>
        <v>6235.4148455018812</v>
      </c>
    </row>
    <row r="26" spans="1:13" x14ac:dyDescent="0.3">
      <c r="A26" s="64" t="s">
        <v>201</v>
      </c>
      <c r="B26" s="58">
        <f>'Annual Cash Flow Reported'!B26/'Annual Cash Flow US$'!B$7</f>
        <v>19.413894524311051</v>
      </c>
      <c r="C26" s="58">
        <f>'Annual Cash Flow Reported'!C26/'Annual Cash Flow US$'!C$7</f>
        <v>0</v>
      </c>
      <c r="D26" s="58">
        <f>'Annual Cash Flow Reported'!D26/'Annual Cash Flow US$'!D$7</f>
        <v>0</v>
      </c>
      <c r="E26" s="58">
        <f>'Annual Cash Flow Reported'!E26/'Annual Cash Flow US$'!E$7</f>
        <v>0</v>
      </c>
      <c r="F26" s="58">
        <f>'Annual Cash Flow Reported'!F26/'Annual Cash Flow US$'!F$7</f>
        <v>0</v>
      </c>
      <c r="G26" s="58">
        <f>'Annual Cash Flow Reported'!G26/'Annual Cash Flow US$'!G$7</f>
        <v>0</v>
      </c>
      <c r="H26" s="58">
        <f>'Annual Cash Flow Reported'!H26/'Annual Cash Flow US$'!H$7</f>
        <v>264.85768615496062</v>
      </c>
      <c r="I26" s="58">
        <f>'Annual Cash Flow Reported'!I26/'Annual Cash Flow US$'!I$7</f>
        <v>570.05127202319363</v>
      </c>
      <c r="J26" s="58">
        <f>'Annual Cash Flow Reported'!J26/'Annual Cash Flow US$'!J$7</f>
        <v>226.08582794292892</v>
      </c>
      <c r="K26" s="58">
        <f>'Annual Cash Flow Reported'!K26/'Annual Cash Flow US$'!K$7</f>
        <v>0</v>
      </c>
      <c r="L26" s="58">
        <f>'Annual Cash Flow Reported'!L26/'Annual Cash Flow US$'!L$7</f>
        <v>368.66709741172895</v>
      </c>
      <c r="M26" s="58">
        <f>'Annual Cash Flow Reported'!M26/'Annual Cash Flow US$'!M$7</f>
        <v>377.028619208696</v>
      </c>
    </row>
    <row r="27" spans="1:13" x14ac:dyDescent="0.3">
      <c r="A27" s="64" t="s">
        <v>202</v>
      </c>
      <c r="B27" s="58">
        <f>'Annual Cash Flow Reported'!B27/'Annual Cash Flow US$'!B$7</f>
        <v>-1101.738514254652</v>
      </c>
      <c r="C27" s="58">
        <f>'Annual Cash Flow Reported'!C27/'Annual Cash Flow US$'!C$7</f>
        <v>-614.86807641353926</v>
      </c>
      <c r="D27" s="58">
        <f>'Annual Cash Flow Reported'!D27/'Annual Cash Flow US$'!D$7</f>
        <v>-442.15917730382938</v>
      </c>
      <c r="E27" s="58">
        <f>'Annual Cash Flow Reported'!E27/'Annual Cash Flow US$'!E$7</f>
        <v>-1598.3686152650998</v>
      </c>
      <c r="F27" s="58">
        <f>'Annual Cash Flow Reported'!F27/'Annual Cash Flow US$'!F$7</f>
        <v>-650.52368598059002</v>
      </c>
      <c r="G27" s="58">
        <f>'Annual Cash Flow Reported'!G27/'Annual Cash Flow US$'!G$7</f>
        <v>-553.36834607828553</v>
      </c>
      <c r="H27" s="58">
        <f>'Annual Cash Flow Reported'!H27/'Annual Cash Flow US$'!H$7</f>
        <v>-1716.6701880414114</v>
      </c>
      <c r="I27" s="58">
        <f>'Annual Cash Flow Reported'!I27/'Annual Cash Flow US$'!I$7</f>
        <v>-627.05639922551291</v>
      </c>
      <c r="J27" s="58">
        <f>'Annual Cash Flow Reported'!J27/'Annual Cash Flow US$'!J$7</f>
        <v>-1316.3905203775998</v>
      </c>
      <c r="K27" s="58">
        <f>'Annual Cash Flow Reported'!K27/'Annual Cash Flow US$'!K$7</f>
        <v>-816.94174391438696</v>
      </c>
      <c r="L27" s="58">
        <f>'Annual Cash Flow Reported'!L27/'Annual Cash Flow US$'!L$7</f>
        <v>-2066.8161605412183</v>
      </c>
      <c r="M27" s="58">
        <f>'Annual Cash Flow Reported'!M27/'Annual Cash Flow US$'!M$7</f>
        <v>-3604.5760328379765</v>
      </c>
    </row>
    <row r="28" spans="1:13" x14ac:dyDescent="0.3">
      <c r="A28" s="85" t="s">
        <v>411</v>
      </c>
      <c r="B28" s="58">
        <f>'Annual Cash Flow Reported'!B28/'Annual Cash Flow US$'!B$7</f>
        <v>0</v>
      </c>
      <c r="C28" s="58">
        <f>'Annual Cash Flow Reported'!C28/'Annual Cash Flow US$'!C$7</f>
        <v>0</v>
      </c>
      <c r="D28" s="58">
        <f>'Annual Cash Flow Reported'!D28/'Annual Cash Flow US$'!D$7</f>
        <v>0</v>
      </c>
      <c r="E28" s="58">
        <f>'Annual Cash Flow Reported'!E28/'Annual Cash Flow US$'!E$7</f>
        <v>0</v>
      </c>
      <c r="F28" s="58">
        <f>'Annual Cash Flow Reported'!F28/'Annual Cash Flow US$'!F$7</f>
        <v>0</v>
      </c>
      <c r="G28" s="58">
        <f>'Annual Cash Flow Reported'!G28/'Annual Cash Flow US$'!G$7</f>
        <v>0</v>
      </c>
      <c r="H28" s="58">
        <f>'Annual Cash Flow Reported'!H28/'Annual Cash Flow US$'!H$7</f>
        <v>0</v>
      </c>
      <c r="I28" s="58">
        <f>'Annual Cash Flow Reported'!I28/'Annual Cash Flow US$'!I$7</f>
        <v>0</v>
      </c>
      <c r="J28" s="58">
        <f>'Annual Cash Flow Reported'!J28/'Annual Cash Flow US$'!J$7</f>
        <v>0</v>
      </c>
      <c r="K28" s="58">
        <f>'Annual Cash Flow Reported'!K28/'Annual Cash Flow US$'!K$7</f>
        <v>0</v>
      </c>
      <c r="L28" s="58">
        <f>'Annual Cash Flow Reported'!L28/'Annual Cash Flow US$'!L$7</f>
        <v>0</v>
      </c>
      <c r="M28" s="58">
        <f>'Annual Cash Flow Reported'!M28/'Annual Cash Flow US$'!M$7</f>
        <v>-202.19679981756678</v>
      </c>
    </row>
    <row r="29" spans="1:13" x14ac:dyDescent="0.3">
      <c r="A29" s="64" t="s">
        <v>203</v>
      </c>
      <c r="B29" s="58">
        <f>'Annual Cash Flow Reported'!B29/'Annual Cash Flow US$'!B$7</f>
        <v>0</v>
      </c>
      <c r="C29" s="58">
        <f>'Annual Cash Flow Reported'!C29/'Annual Cash Flow US$'!C$7</f>
        <v>0</v>
      </c>
      <c r="D29" s="58">
        <f>'Annual Cash Flow Reported'!D29/'Annual Cash Flow US$'!D$7</f>
        <v>0</v>
      </c>
      <c r="E29" s="58">
        <f>'Annual Cash Flow Reported'!E29/'Annual Cash Flow US$'!E$7</f>
        <v>0</v>
      </c>
      <c r="F29" s="58">
        <f>'Annual Cash Flow Reported'!F29/'Annual Cash Flow US$'!F$7</f>
        <v>0</v>
      </c>
      <c r="G29" s="58">
        <f>'Annual Cash Flow Reported'!G29/'Annual Cash Flow US$'!G$7</f>
        <v>0</v>
      </c>
      <c r="H29" s="58">
        <f>'Annual Cash Flow Reported'!H29/'Annual Cash Flow US$'!H$7</f>
        <v>0</v>
      </c>
      <c r="I29" s="58">
        <f>'Annual Cash Flow Reported'!I29/'Annual Cash Flow US$'!I$7</f>
        <v>0</v>
      </c>
      <c r="J29" s="58">
        <f>'Annual Cash Flow Reported'!J29/'Annual Cash Flow US$'!J$7</f>
        <v>0</v>
      </c>
      <c r="K29" s="58">
        <f>'Annual Cash Flow Reported'!K29/'Annual Cash Flow US$'!K$7</f>
        <v>0</v>
      </c>
      <c r="L29" s="58">
        <f>'Annual Cash Flow Reported'!L29/'Annual Cash Flow US$'!L$7</f>
        <v>0</v>
      </c>
      <c r="M29" s="58">
        <f>'Annual Cash Flow Reported'!M29/'Annual Cash Flow US$'!M$7</f>
        <v>0</v>
      </c>
    </row>
    <row r="30" spans="1:13" x14ac:dyDescent="0.3">
      <c r="A30" s="64" t="s">
        <v>204</v>
      </c>
      <c r="B30" s="58">
        <f>'Annual Cash Flow Reported'!B30/'Annual Cash Flow US$'!B$7</f>
        <v>0</v>
      </c>
      <c r="C30" s="58">
        <f>'Annual Cash Flow Reported'!C30/'Annual Cash Flow US$'!C$7</f>
        <v>0</v>
      </c>
      <c r="D30" s="58">
        <f>'Annual Cash Flow Reported'!D30/'Annual Cash Flow US$'!D$7</f>
        <v>0</v>
      </c>
      <c r="E30" s="58">
        <f>'Annual Cash Flow Reported'!E30/'Annual Cash Flow US$'!E$7</f>
        <v>0</v>
      </c>
      <c r="F30" s="58">
        <f>'Annual Cash Flow Reported'!F30/'Annual Cash Flow US$'!F$7</f>
        <v>0</v>
      </c>
      <c r="G30" s="58">
        <f>'Annual Cash Flow Reported'!G30/'Annual Cash Flow US$'!G$7</f>
        <v>0</v>
      </c>
      <c r="H30" s="58">
        <f>'Annual Cash Flow Reported'!H30/'Annual Cash Flow US$'!H$7</f>
        <v>0</v>
      </c>
      <c r="I30" s="58">
        <f>'Annual Cash Flow Reported'!I30/'Annual Cash Flow US$'!I$7</f>
        <v>0</v>
      </c>
      <c r="J30" s="58">
        <f>'Annual Cash Flow Reported'!J30/'Annual Cash Flow US$'!J$7</f>
        <v>0</v>
      </c>
      <c r="K30" s="58">
        <f>'Annual Cash Flow Reported'!K30/'Annual Cash Flow US$'!K$7</f>
        <v>0</v>
      </c>
      <c r="L30" s="58">
        <f>'Annual Cash Flow Reported'!L30/'Annual Cash Flow US$'!L$7</f>
        <v>0</v>
      </c>
      <c r="M30" s="58">
        <f>'Annual Cash Flow Reported'!M30/'Annual Cash Flow US$'!M$7</f>
        <v>0</v>
      </c>
    </row>
    <row r="31" spans="1:13" x14ac:dyDescent="0.3">
      <c r="A31" s="64" t="s">
        <v>205</v>
      </c>
      <c r="B31" s="58">
        <f>'Annual Cash Flow Reported'!B31/'Annual Cash Flow US$'!B$7</f>
        <v>0</v>
      </c>
      <c r="C31" s="58">
        <f>'Annual Cash Flow Reported'!C31/'Annual Cash Flow US$'!C$7</f>
        <v>0</v>
      </c>
      <c r="D31" s="58">
        <f>'Annual Cash Flow Reported'!D31/'Annual Cash Flow US$'!D$7</f>
        <v>0</v>
      </c>
      <c r="E31" s="58">
        <f>'Annual Cash Flow Reported'!E31/'Annual Cash Flow US$'!E$7</f>
        <v>0</v>
      </c>
      <c r="F31" s="58">
        <f>'Annual Cash Flow Reported'!F31/'Annual Cash Flow US$'!F$7</f>
        <v>0</v>
      </c>
      <c r="G31" s="58">
        <f>'Annual Cash Flow Reported'!G31/'Annual Cash Flow US$'!G$7</f>
        <v>0</v>
      </c>
      <c r="H31" s="58">
        <f>'Annual Cash Flow Reported'!H31/'Annual Cash Flow US$'!H$7</f>
        <v>0</v>
      </c>
      <c r="I31" s="58">
        <f>'Annual Cash Flow Reported'!I31/'Annual Cash Flow US$'!I$7</f>
        <v>0</v>
      </c>
      <c r="J31" s="58">
        <f>'Annual Cash Flow Reported'!J31/'Annual Cash Flow US$'!J$7</f>
        <v>0</v>
      </c>
      <c r="K31" s="58">
        <f>'Annual Cash Flow Reported'!K31/'Annual Cash Flow US$'!K$7</f>
        <v>0</v>
      </c>
      <c r="L31" s="58">
        <f>'Annual Cash Flow Reported'!L31/'Annual Cash Flow US$'!L$7</f>
        <v>0</v>
      </c>
      <c r="M31" s="58">
        <f>'Annual Cash Flow Reported'!M31/'Annual Cash Flow US$'!M$7</f>
        <v>0</v>
      </c>
    </row>
    <row r="32" spans="1:13" x14ac:dyDescent="0.3">
      <c r="A32" s="64" t="s">
        <v>206</v>
      </c>
      <c r="B32" s="58">
        <f>'Annual Cash Flow Reported'!B32/'Annual Cash Flow US$'!B$7</f>
        <v>0</v>
      </c>
      <c r="C32" s="58">
        <f>'Annual Cash Flow Reported'!C32/'Annual Cash Flow US$'!C$7</f>
        <v>0</v>
      </c>
      <c r="D32" s="58">
        <f>'Annual Cash Flow Reported'!D32/'Annual Cash Flow US$'!D$7</f>
        <v>0</v>
      </c>
      <c r="E32" s="58">
        <f>'Annual Cash Flow Reported'!E32/'Annual Cash Flow US$'!E$7</f>
        <v>0</v>
      </c>
      <c r="F32" s="58">
        <f>'Annual Cash Flow Reported'!F32/'Annual Cash Flow US$'!F$7</f>
        <v>0</v>
      </c>
      <c r="G32" s="58">
        <f>'Annual Cash Flow Reported'!G32/'Annual Cash Flow US$'!G$7</f>
        <v>0</v>
      </c>
      <c r="H32" s="58">
        <f>'Annual Cash Flow Reported'!H32/'Annual Cash Flow US$'!H$7</f>
        <v>0</v>
      </c>
      <c r="I32" s="58">
        <f>'Annual Cash Flow Reported'!I32/'Annual Cash Flow US$'!I$7</f>
        <v>0</v>
      </c>
      <c r="J32" s="58">
        <f>'Annual Cash Flow Reported'!J32/'Annual Cash Flow US$'!J$7</f>
        <v>0</v>
      </c>
      <c r="K32" s="58">
        <f>'Annual Cash Flow Reported'!K32/'Annual Cash Flow US$'!K$7</f>
        <v>0</v>
      </c>
      <c r="L32" s="58">
        <f>'Annual Cash Flow Reported'!L32/'Annual Cash Flow US$'!L$7</f>
        <v>0</v>
      </c>
      <c r="M32" s="58">
        <f>'Annual Cash Flow Reported'!M32/'Annual Cash Flow US$'!M$7</f>
        <v>0</v>
      </c>
    </row>
    <row r="33" spans="1:13" x14ac:dyDescent="0.3">
      <c r="A33" s="64" t="s">
        <v>207</v>
      </c>
      <c r="B33" s="60">
        <f>'Annual Cash Flow Reported'!B33/'Annual Cash Flow US$'!B$7</f>
        <v>-33.974315417544339</v>
      </c>
      <c r="C33" s="60">
        <f>'Annual Cash Flow Reported'!C33/'Annual Cash Flow US$'!C$7</f>
        <v>-52.587401272210592</v>
      </c>
      <c r="D33" s="60">
        <f>'Annual Cash Flow Reported'!D33/'Annual Cash Flow US$'!D$7</f>
        <v>-16.005762074346766</v>
      </c>
      <c r="E33" s="60">
        <f>'Annual Cash Flow Reported'!E33/'Annual Cash Flow US$'!E$7</f>
        <v>-14.56593513303554</v>
      </c>
      <c r="F33" s="60">
        <f>'Annual Cash Flow Reported'!F33/'Annual Cash Flow US$'!F$7</f>
        <v>0</v>
      </c>
      <c r="G33" s="60">
        <f>'Annual Cash Flow Reported'!G33/'Annual Cash Flow US$'!G$7</f>
        <v>-64.964034971000999</v>
      </c>
      <c r="H33" s="60">
        <f>'Annual Cash Flow Reported'!H33/'Annual Cash Flow US$'!H$7</f>
        <v>-25.655730282816698</v>
      </c>
      <c r="I33" s="60">
        <f>'Annual Cash Flow Reported'!I33/'Annual Cash Flow US$'!I$7</f>
        <v>-20.028828476490585</v>
      </c>
      <c r="J33" s="60">
        <f>'Annual Cash Flow Reported'!J33/'Annual Cash Flow US$'!J$7</f>
        <v>-9.2594878338400921</v>
      </c>
      <c r="K33" s="60">
        <f>'Annual Cash Flow Reported'!K33/'Annual Cash Flow US$'!K$7</f>
        <v>-0.75363629512397323</v>
      </c>
      <c r="L33" s="60">
        <f>'Annual Cash Flow Reported'!L33/'Annual Cash Flow US$'!L$7</f>
        <v>0</v>
      </c>
      <c r="M33" s="60">
        <f>'Annual Cash Flow Reported'!M33/'Annual Cash Flow US$'!M$7</f>
        <v>-189.2744479495268</v>
      </c>
    </row>
    <row r="34" spans="1:13" x14ac:dyDescent="0.3">
      <c r="A34" s="14" t="s">
        <v>208</v>
      </c>
      <c r="B34" s="74">
        <f t="shared" ref="B34:M34" si="9">SUM(B23:B33)</f>
        <v>26.208757607820026</v>
      </c>
      <c r="C34" s="74">
        <f t="shared" si="9"/>
        <v>-432.83476431742565</v>
      </c>
      <c r="D34" s="74">
        <f t="shared" si="9"/>
        <v>-337.12136369092872</v>
      </c>
      <c r="E34" s="74">
        <f t="shared" si="9"/>
        <v>316.56632355797268</v>
      </c>
      <c r="F34" s="74">
        <f t="shared" si="9"/>
        <v>482.36763716729115</v>
      </c>
      <c r="G34" s="74">
        <f t="shared" si="9"/>
        <v>43.831156125012697</v>
      </c>
      <c r="H34" s="74">
        <f t="shared" si="9"/>
        <v>368.23518758866288</v>
      </c>
      <c r="I34" s="74">
        <f t="shared" ref="I34:J34" si="10">SUM(I23:I33)</f>
        <v>439.86388692600491</v>
      </c>
      <c r="J34" s="74">
        <f t="shared" si="10"/>
        <v>-218.36958808139556</v>
      </c>
      <c r="K34" s="74">
        <f t="shared" ref="K34:L34" si="11">SUM(K23:K33)</f>
        <v>-1092.0189916346371</v>
      </c>
      <c r="L34" s="74">
        <f t="shared" si="11"/>
        <v>3942.8375964425527</v>
      </c>
      <c r="M34" s="74">
        <f t="shared" si="9"/>
        <v>3657.0255786553153</v>
      </c>
    </row>
    <row r="35" spans="1:13" ht="15" thickBot="1" x14ac:dyDescent="0.35">
      <c r="A35" s="14" t="s">
        <v>209</v>
      </c>
      <c r="B35" s="76">
        <f t="shared" ref="B35:M35" si="12">B13+B22+B34</f>
        <v>-173.75435599258384</v>
      </c>
      <c r="C35" s="76">
        <f t="shared" si="12"/>
        <v>-305.41144585014609</v>
      </c>
      <c r="D35" s="76">
        <f t="shared" si="12"/>
        <v>-310.11164019046856</v>
      </c>
      <c r="E35" s="76">
        <f t="shared" si="12"/>
        <v>-64.090114585356048</v>
      </c>
      <c r="F35" s="76">
        <f t="shared" si="12"/>
        <v>-196.98280003843581</v>
      </c>
      <c r="G35" s="76">
        <f t="shared" si="12"/>
        <v>-266.11773361614866</v>
      </c>
      <c r="H35" s="76">
        <f t="shared" si="12"/>
        <v>-83.003833267936727</v>
      </c>
      <c r="I35" s="76">
        <f t="shared" ref="I35:J35" si="13">I13+I22+I34</f>
        <v>-93.981425928147871</v>
      </c>
      <c r="J35" s="76">
        <f t="shared" si="13"/>
        <v>-30.093335459980011</v>
      </c>
      <c r="K35" s="76">
        <f t="shared" ref="K35:L35" si="14">K13+K22+K34</f>
        <v>1106.3380812419928</v>
      </c>
      <c r="L35" s="76">
        <f t="shared" si="14"/>
        <v>1228.3835658089774</v>
      </c>
      <c r="M35" s="76">
        <f t="shared" si="12"/>
        <v>1115.1229523773327</v>
      </c>
    </row>
    <row r="36" spans="1:13" ht="15" thickTop="1" x14ac:dyDescent="0.3">
      <c r="A36" s="64" t="s">
        <v>210</v>
      </c>
      <c r="B36" s="58">
        <f>'Annual Cash Flow Reported'!B36/'Annual Cash Flow US$'!B$7</f>
        <v>0</v>
      </c>
      <c r="C36" s="58">
        <f>'Annual Cash Flow Reported'!C36/'Annual Cash Flow US$'!C$7</f>
        <v>0</v>
      </c>
      <c r="D36" s="58">
        <f>'Annual Cash Flow Reported'!D36/'Annual Cash Flow US$'!D$7</f>
        <v>0</v>
      </c>
      <c r="E36" s="58">
        <f>'Annual Cash Flow Reported'!E36/'Annual Cash Flow US$'!E$7</f>
        <v>0</v>
      </c>
      <c r="F36" s="58">
        <f>'Annual Cash Flow Reported'!F36/'Annual Cash Flow US$'!F$7</f>
        <v>0</v>
      </c>
      <c r="G36" s="58">
        <f>'Annual Cash Flow Reported'!G36/'Annual Cash Flow US$'!G$7</f>
        <v>14.088585897325517</v>
      </c>
      <c r="H36" s="58">
        <f>'Annual Cash Flow Reported'!H36/'Annual Cash Flow US$'!H$7</f>
        <v>-12.827865141408349</v>
      </c>
      <c r="I36" s="58">
        <f>'Annual Cash Flow Reported'!I36/'Annual Cash Flow US$'!I$7</f>
        <v>-17.717809806126287</v>
      </c>
      <c r="J36" s="58">
        <f>'Annual Cash Flow Reported'!J36/'Annual Cash Flow US$'!J$7</f>
        <v>20.833847626140209</v>
      </c>
      <c r="K36" s="58">
        <f>'Annual Cash Flow Reported'!K36/'Annual Cash Flow US$'!K$7</f>
        <v>-6.0290903609917859</v>
      </c>
      <c r="L36" s="58">
        <f>'Annual Cash Flow Reported'!L36/'Annual Cash Flow US$'!L$7</f>
        <v>-36.486640568583482</v>
      </c>
      <c r="M36" s="58">
        <f>'Annual Cash Flow Reported'!M36/'Annual Cash Flow US$'!M$7</f>
        <v>-28.125118771616435</v>
      </c>
    </row>
    <row r="37" spans="1:13" x14ac:dyDescent="0.3">
      <c r="A37" s="14" t="s">
        <v>211</v>
      </c>
      <c r="B37" s="38"/>
      <c r="C37" s="74">
        <f>'Balance Sheet US$'!B25</f>
        <v>1095.4499999999998</v>
      </c>
      <c r="D37" s="74">
        <f>'Balance Sheet US$'!C25</f>
        <v>830.02239999999995</v>
      </c>
      <c r="E37" s="74">
        <f>'Balance Sheet US$'!D25</f>
        <v>760.27399999999989</v>
      </c>
      <c r="F37" s="74">
        <f>'Balance Sheet US$'!E25</f>
        <v>705.39750000000004</v>
      </c>
      <c r="G37" s="74">
        <f>'Balance Sheet US$'!F25</f>
        <v>570.24469999999997</v>
      </c>
      <c r="H37" s="74">
        <f>'Balance Sheet US$'!G25</f>
        <v>413.06979999999993</v>
      </c>
      <c r="I37" s="74">
        <f>'Balance Sheet US$'!H25</f>
        <v>586.21973929236503</v>
      </c>
      <c r="J37" s="74">
        <f>'Balance Sheet US$'!I25</f>
        <v>510.6992283827858</v>
      </c>
      <c r="K37" s="74">
        <f>'Balance Sheet US$'!J25</f>
        <v>462.79291853375452</v>
      </c>
      <c r="L37" s="74">
        <f>'Balance Sheet US$'!K25</f>
        <v>1608.9299461123942</v>
      </c>
      <c r="M37" s="74">
        <f>'Balance Sheet US$'!H25</f>
        <v>586.21973929236503</v>
      </c>
    </row>
    <row r="38" spans="1:13" x14ac:dyDescent="0.3">
      <c r="A38" s="14" t="s">
        <v>212</v>
      </c>
      <c r="B38" s="22">
        <f t="shared" ref="B38:M38" si="15">B35+B36+B37</f>
        <v>-173.75435599258384</v>
      </c>
      <c r="C38" s="22">
        <f t="shared" si="15"/>
        <v>790.03855414985378</v>
      </c>
      <c r="D38" s="22">
        <f t="shared" si="15"/>
        <v>519.91075980953133</v>
      </c>
      <c r="E38" s="22">
        <f t="shared" si="15"/>
        <v>696.18388541464378</v>
      </c>
      <c r="F38" s="22">
        <f t="shared" si="15"/>
        <v>508.41469996156422</v>
      </c>
      <c r="G38" s="22">
        <f t="shared" si="15"/>
        <v>318.21555228117683</v>
      </c>
      <c r="H38" s="22">
        <f t="shared" si="15"/>
        <v>317.23810159065488</v>
      </c>
      <c r="I38" s="22">
        <f t="shared" ref="I38:J38" si="16">I35+I36+I37</f>
        <v>474.52050355809087</v>
      </c>
      <c r="J38" s="22">
        <f t="shared" si="16"/>
        <v>501.43974054894602</v>
      </c>
      <c r="K38" s="22">
        <f t="shared" ref="K38:L38" si="17">K35+K36+K37</f>
        <v>1563.1019094147555</v>
      </c>
      <c r="L38" s="22">
        <f t="shared" si="17"/>
        <v>2800.8268713527882</v>
      </c>
      <c r="M38" s="22">
        <f t="shared" si="15"/>
        <v>1673.2175728980815</v>
      </c>
    </row>
    <row r="39" spans="1:13" x14ac:dyDescent="0.3">
      <c r="A39" s="8" t="s">
        <v>213</v>
      </c>
      <c r="B39" s="37"/>
      <c r="C39" s="37"/>
      <c r="D39" s="37"/>
      <c r="E39" s="37"/>
      <c r="F39" s="37"/>
      <c r="G39" s="37"/>
      <c r="H39" s="37"/>
      <c r="I39" s="37"/>
      <c r="J39" s="37"/>
      <c r="K39" s="37"/>
      <c r="L39" s="37"/>
      <c r="M39" s="37"/>
    </row>
    <row r="40" spans="1:13" x14ac:dyDescent="0.3">
      <c r="A40" s="64" t="s">
        <v>291</v>
      </c>
      <c r="B40" s="21">
        <f t="shared" ref="B40:M40" si="18">B13+B14+B15</f>
        <v>602.8014249798581</v>
      </c>
      <c r="C40" s="21">
        <f t="shared" si="18"/>
        <v>305.41144585014615</v>
      </c>
      <c r="D40" s="21">
        <f t="shared" si="18"/>
        <v>17.006122203993407</v>
      </c>
      <c r="E40" s="21">
        <f t="shared" si="18"/>
        <v>-216.54690231112838</v>
      </c>
      <c r="F40" s="21">
        <f t="shared" si="18"/>
        <v>-580.37859133275674</v>
      </c>
      <c r="G40" s="21">
        <f t="shared" si="18"/>
        <v>1.1013412404281553E-13</v>
      </c>
      <c r="H40" s="21">
        <f t="shared" si="18"/>
        <v>-369.74434819353468</v>
      </c>
      <c r="I40" s="21">
        <f t="shared" ref="I40:J40" si="19">I13+I14+I15</f>
        <v>247.27899772898002</v>
      </c>
      <c r="J40" s="21">
        <f t="shared" si="19"/>
        <v>806.34706553024159</v>
      </c>
      <c r="K40" s="21">
        <f t="shared" ref="K40:L40" si="20">K13+K14+K15</f>
        <v>2796.7442912050647</v>
      </c>
      <c r="L40" s="21">
        <f t="shared" si="20"/>
        <v>-2693.1701569685679</v>
      </c>
      <c r="M40" s="21">
        <f t="shared" si="18"/>
        <v>-2594.3521720953213</v>
      </c>
    </row>
    <row r="41" spans="1:13" x14ac:dyDescent="0.3">
      <c r="A41" s="64" t="s">
        <v>214</v>
      </c>
      <c r="B41" s="21">
        <v>-358.3</v>
      </c>
      <c r="C41" s="21">
        <v>-755.7</v>
      </c>
      <c r="D41" s="21">
        <v>-1529.6</v>
      </c>
      <c r="E41" s="21">
        <v>-2539.4</v>
      </c>
      <c r="F41" s="21">
        <v>-5823.1</v>
      </c>
      <c r="G41" s="21">
        <v>-5529.6</v>
      </c>
      <c r="H41" s="21">
        <v>-5528.6</v>
      </c>
      <c r="I41" s="21">
        <v>-5527.6</v>
      </c>
      <c r="J41" s="21">
        <v>-5526.6</v>
      </c>
      <c r="K41" s="21">
        <v>-5525.6</v>
      </c>
      <c r="L41" s="21">
        <v>-5524.6</v>
      </c>
      <c r="M41" s="21">
        <v>-5527.6</v>
      </c>
    </row>
    <row r="42" spans="1:13" x14ac:dyDescent="0.3">
      <c r="A42" s="8" t="s">
        <v>215</v>
      </c>
      <c r="B42" s="10"/>
      <c r="C42" s="10"/>
      <c r="D42" s="10"/>
      <c r="E42" s="10"/>
      <c r="F42" s="10"/>
      <c r="G42" s="10"/>
      <c r="H42" s="10"/>
      <c r="I42" s="10"/>
      <c r="J42" s="10"/>
      <c r="K42" s="10"/>
      <c r="L42" s="10"/>
      <c r="M42" s="10"/>
    </row>
    <row r="43" spans="1:13" x14ac:dyDescent="0.3">
      <c r="A43" s="64" t="s">
        <v>216</v>
      </c>
      <c r="B43" s="2">
        <f>IFERROR(B8/-(B14+B15),"")</f>
        <v>7.97752808988764</v>
      </c>
      <c r="C43" s="2">
        <f t="shared" ref="C43:M43" si="21">IFERROR(C8/-(C14+C15),"")</f>
        <v>2.4112149532710281</v>
      </c>
      <c r="D43" s="2">
        <f t="shared" si="21"/>
        <v>1.04126213592233</v>
      </c>
      <c r="E43" s="2">
        <f t="shared" si="21"/>
        <v>0.75</v>
      </c>
      <c r="F43" s="2">
        <f t="shared" si="21"/>
        <v>0.57732680195941211</v>
      </c>
      <c r="G43" s="2">
        <f t="shared" si="21"/>
        <v>1</v>
      </c>
      <c r="H43" s="2">
        <f t="shared" si="21"/>
        <v>0.80926430517711179</v>
      </c>
      <c r="I43" s="2">
        <f t="shared" ref="I43:J43" si="22">IFERROR(I8/-(I14+I15),"")</f>
        <v>1.1328092676872157</v>
      </c>
      <c r="J43" s="2">
        <f t="shared" si="22"/>
        <v>1.4309278350515464</v>
      </c>
      <c r="K43" s="2">
        <f t="shared" ref="K43:L43" si="23">IFERROR(K8/-(K14+K15),"")</f>
        <v>2.8545727136431784</v>
      </c>
      <c r="L43" s="2">
        <f t="shared" si="23"/>
        <v>-1.9773109243697478</v>
      </c>
      <c r="M43" s="2">
        <f t="shared" si="21"/>
        <v>-3.1121031746031749</v>
      </c>
    </row>
    <row r="44" spans="1:13" x14ac:dyDescent="0.3">
      <c r="A44" s="64" t="s">
        <v>217</v>
      </c>
      <c r="B44" s="2">
        <f>IFERROR(B13/-(B14+B15),"")</f>
        <v>7.97752808988764</v>
      </c>
      <c r="C44" s="2">
        <f t="shared" ref="C44:M44" si="24">IFERROR(C13/-(C14+C15),"")</f>
        <v>2.4112149532710281</v>
      </c>
      <c r="D44" s="2">
        <f t="shared" si="24"/>
        <v>1.04126213592233</v>
      </c>
      <c r="E44" s="2">
        <f t="shared" si="24"/>
        <v>0.75</v>
      </c>
      <c r="F44" s="2">
        <f t="shared" si="24"/>
        <v>0.57732680195941211</v>
      </c>
      <c r="G44" s="2">
        <f t="shared" si="24"/>
        <v>1</v>
      </c>
      <c r="H44" s="2">
        <f t="shared" si="24"/>
        <v>0.80926430517711179</v>
      </c>
      <c r="I44" s="2">
        <f t="shared" ref="I44:J44" si="25">IFERROR(I13/-(I14+I15),"")</f>
        <v>1.1328092676872157</v>
      </c>
      <c r="J44" s="2">
        <f t="shared" si="25"/>
        <v>1.4309278350515464</v>
      </c>
      <c r="K44" s="2">
        <f t="shared" ref="K44:L44" si="26">IFERROR(K13/-(K14+K15),"")</f>
        <v>2.8545727136431784</v>
      </c>
      <c r="L44" s="2">
        <f t="shared" si="26"/>
        <v>-1.9773109243697478</v>
      </c>
      <c r="M44" s="2">
        <f t="shared" si="24"/>
        <v>-2.3859126984126986</v>
      </c>
    </row>
    <row r="45" spans="1:13" x14ac:dyDescent="0.3">
      <c r="A45" s="64" t="s">
        <v>218</v>
      </c>
      <c r="B45" s="46">
        <f>IFERROR('Balance Sheet US$'!B70/B8,"")</f>
        <v>6.4993163579577446</v>
      </c>
      <c r="C45" s="46">
        <f>IFERROR('Balance Sheet US$'!C70/C8,"")</f>
        <v>8.1218280258139526</v>
      </c>
      <c r="D45" s="46">
        <f>IFERROR('Balance Sheet US$'!D70/D8,"")</f>
        <v>9.2434427240093218</v>
      </c>
      <c r="E45" s="46">
        <f>IFERROR('Balance Sheet US$'!E70/E8,"")</f>
        <v>6.273185233784754</v>
      </c>
      <c r="F45" s="46">
        <f>IFERROR('Balance Sheet US$'!F70/F8,"")</f>
        <v>5.6763476584727277</v>
      </c>
      <c r="G45" s="46">
        <f>IFERROR('Balance Sheet US$'!G70/G8,"")</f>
        <v>3.2920554608108259</v>
      </c>
      <c r="H45" s="46">
        <f>IFERROR('Balance Sheet US$'!H70/H8,"")</f>
        <v>3.1423352331508756</v>
      </c>
      <c r="I45" s="46">
        <f>IFERROR('Balance Sheet US$'!I70/I8,"")</f>
        <v>2.3077830732586837</v>
      </c>
      <c r="J45" s="46">
        <f>IFERROR('Balance Sheet US$'!J70/J8,"")</f>
        <v>2.721863933679046</v>
      </c>
      <c r="K45" s="46">
        <f>IFERROR('Balance Sheet US$'!K70/K8,"")</f>
        <v>1.6527486398716531</v>
      </c>
      <c r="L45" s="46">
        <f>IFERROR('Balance Sheet US$'!L70/L8,"")</f>
        <v>-5.4516042351925202</v>
      </c>
      <c r="M45" s="46">
        <f>IFERROR('Balance Sheet US$'!M70/M8,"")</f>
        <v>-5.643641125403394</v>
      </c>
    </row>
    <row r="46" spans="1:13" x14ac:dyDescent="0.3">
      <c r="A46" s="64" t="s">
        <v>219</v>
      </c>
      <c r="B46" s="46">
        <f>IFERROR(B8/-'Annual Income Statement US$'!B90,"")</f>
        <v>1.8832891246684349</v>
      </c>
      <c r="C46" s="46">
        <f>IFERROR(C8/-'Annual Income Statement US$'!C90,"")</f>
        <v>1.6329113924050633</v>
      </c>
      <c r="D46" s="46">
        <f>IFERROR(D8/-'Annual Income Statement US$'!D90,"")</f>
        <v>1.5</v>
      </c>
      <c r="E46" s="46">
        <f>IFERROR(E8/-'Annual Income Statement US$'!E90,"")</f>
        <v>1.9059829059829061</v>
      </c>
      <c r="F46" s="46">
        <f>IFERROR(F8/-'Annual Income Statement US$'!F90,"")</f>
        <v>2.8253424657534247</v>
      </c>
      <c r="G46" s="46">
        <f>IFERROR(G8/-'Annual Income Statement US$'!G90,"")</f>
        <v>5.6175548589341693</v>
      </c>
      <c r="H46" s="46">
        <f>IFERROR(H8/-'Annual Income Statement US$'!H90,"")</f>
        <v>6.5791139240506329</v>
      </c>
      <c r="I46" s="46">
        <f>IFERROR(I8/-'Annual Income Statement US$'!I90,"")</f>
        <v>9.956363636363637</v>
      </c>
      <c r="J46" s="46">
        <f>IFERROR(J8/-'Annual Income Statement US$'!J90,"")</f>
        <v>6.522556390977444</v>
      </c>
      <c r="K46" s="46">
        <f>IFERROR(K8/-'Annual Income Statement US$'!K90,"")</f>
        <v>11.899999999999999</v>
      </c>
      <c r="L46" s="46">
        <f>IFERROR(L8/-'Annual Income Statement US$'!L90,"")</f>
        <v>-3.586890243902439</v>
      </c>
      <c r="M46" s="46">
        <f>IFERROR(M8/-'Annual Income Statement US$'!M90,"")</f>
        <v>-4.2948430095553398</v>
      </c>
    </row>
    <row r="47" spans="1:13" x14ac:dyDescent="0.3">
      <c r="A47" s="64" t="s">
        <v>220</v>
      </c>
      <c r="B47" s="2">
        <f>IFERROR(B8 / 'Balance Sheet US$'!B75,"")</f>
        <v>0.14893915719827544</v>
      </c>
      <c r="C47" s="2">
        <f>IFERROR(C8 / 'Balance Sheet US$'!C75,"")</f>
        <v>0.11455692521247438</v>
      </c>
      <c r="D47" s="2">
        <f>IFERROR(D8 / 'Balance Sheet US$'!D75,"")</f>
        <v>0.10009121420420944</v>
      </c>
      <c r="E47" s="2">
        <f>IFERROR(E8 / 'Balance Sheet US$'!E75,"")</f>
        <v>0.15615571018533966</v>
      </c>
      <c r="F47" s="2">
        <f>IFERROR(F8 / 'Balance Sheet US$'!F75,"")</f>
        <v>0.1707556692497296</v>
      </c>
      <c r="G47" s="2">
        <f>IFERROR(G8 / 'Balance Sheet US$'!G75,"")</f>
        <v>0.30346814174228515</v>
      </c>
      <c r="H47" s="2">
        <f>IFERROR(H8 / 'Balance Sheet US$'!H75,"")</f>
        <v>0.30456117525656401</v>
      </c>
      <c r="I47" s="2">
        <f>IFERROR(I8 / 'Balance Sheet US$'!I75,"")</f>
        <v>0.46316060914538715</v>
      </c>
      <c r="J47" s="2">
        <f>IFERROR(J8 / 'Balance Sheet US$'!J75,"")</f>
        <v>0.69906572904802167</v>
      </c>
      <c r="K47" s="2">
        <f>IFERROR(K8 / 'Balance Sheet US$'!K75,"")</f>
        <v>1.6677294669116691</v>
      </c>
      <c r="L47" s="2">
        <f>IFERROR(L8 / 'Balance Sheet US$'!L75,"")</f>
        <v>-0.43414748933285469</v>
      </c>
      <c r="M47" s="2">
        <f>IFERROR(M8 / 'Balance Sheet US$'!M75,"")</f>
        <v>-0.3704126722492066</v>
      </c>
    </row>
    <row r="48" spans="1:13" x14ac:dyDescent="0.3">
      <c r="A48" s="64" t="s">
        <v>221</v>
      </c>
      <c r="B48" s="46">
        <f>IFERROR('Balance Sheet US$'!B72/B13,"")</f>
        <v>3.302883453169013</v>
      </c>
      <c r="C48" s="46">
        <f>IFERROR('Balance Sheet US$'!C72/C13,"")</f>
        <v>4.1847109296976743</v>
      </c>
      <c r="D48" s="46">
        <f>IFERROR('Balance Sheet US$'!D72/D13,"")</f>
        <v>4.5083694095104887</v>
      </c>
      <c r="E48" s="46">
        <f>IFERROR('Balance Sheet US$'!E72/E13,"")</f>
        <v>3.0765101827354266</v>
      </c>
      <c r="F48" s="46">
        <f>IFERROR('Balance Sheet US$'!F72/F13,"")</f>
        <v>3.2005633557454551</v>
      </c>
      <c r="G48" s="46">
        <f>IFERROR('Balance Sheet US$'!G72/G13,"")</f>
        <v>1.9163325657081476</v>
      </c>
      <c r="H48" s="46">
        <f>IFERROR('Balance Sheet US$'!H72/H13,"")</f>
        <v>1.7278570434324623</v>
      </c>
      <c r="I48" s="46">
        <f>IFERROR('Balance Sheet US$'!I72/I13,"")</f>
        <v>0.87310309112499651</v>
      </c>
      <c r="J48" s="46">
        <f>IFERROR('Balance Sheet US$'!J72/J13,"")</f>
        <v>1.4304806521724167</v>
      </c>
      <c r="K48" s="46">
        <f>IFERROR('Balance Sheet US$'!K72/K13,"")</f>
        <v>0.59961763573789795</v>
      </c>
      <c r="L48" s="46">
        <f>IFERROR('Balance Sheet US$'!L72/L13,"")</f>
        <v>-2.3033646964921508</v>
      </c>
      <c r="M48" s="46">
        <f>IFERROR('Balance Sheet US$'!M72/M13,"")</f>
        <v>-3.5213857464583498</v>
      </c>
    </row>
    <row r="49" spans="1:13" x14ac:dyDescent="0.3">
      <c r="A49" s="64" t="s">
        <v>222</v>
      </c>
      <c r="B49" s="46">
        <f>IFERROR(B13/-'Annual Income Statement US$'!B90,"")</f>
        <v>1.8832891246684349</v>
      </c>
      <c r="C49" s="46">
        <f>IFERROR(C13/-'Annual Income Statement US$'!C90,"")</f>
        <v>1.6329113924050633</v>
      </c>
      <c r="D49" s="46">
        <f>IFERROR(D13/-'Annual Income Statement US$'!D90,"")</f>
        <v>1.5</v>
      </c>
      <c r="E49" s="46">
        <f>IFERROR(E13/-'Annual Income Statement US$'!E90,"")</f>
        <v>1.9059829059829061</v>
      </c>
      <c r="F49" s="46">
        <f>IFERROR(F13/-'Annual Income Statement US$'!F90,"")</f>
        <v>2.8253424657534247</v>
      </c>
      <c r="G49" s="46">
        <f>IFERROR(G13/-'Annual Income Statement US$'!G90,"")</f>
        <v>5.6175548589341693</v>
      </c>
      <c r="H49" s="46">
        <f>IFERROR(H13/-'Annual Income Statement US$'!H90,"")</f>
        <v>6.5791139240506329</v>
      </c>
      <c r="I49" s="46">
        <f>IFERROR(I13/-'Annual Income Statement US$'!I90,"")</f>
        <v>9.956363636363637</v>
      </c>
      <c r="J49" s="46">
        <f>IFERROR(J13/-'Annual Income Statement US$'!J90,"")</f>
        <v>6.522556390977444</v>
      </c>
      <c r="K49" s="46">
        <f>IFERROR(K13/-'Annual Income Statement US$'!K90,"")</f>
        <v>11.899999999999999</v>
      </c>
      <c r="L49" s="46">
        <f>IFERROR(L13/-'Annual Income Statement US$'!L90,"")</f>
        <v>-3.586890243902439</v>
      </c>
      <c r="M49" s="46">
        <f>IFERROR(M13/-'Annual Income Statement US$'!M90,"")</f>
        <v>-3.292667337577492</v>
      </c>
    </row>
    <row r="50" spans="1:13" x14ac:dyDescent="0.3">
      <c r="A50" s="64" t="s">
        <v>223</v>
      </c>
      <c r="B50" s="2">
        <f>IFERROR(B13/'Balance Sheet US$'!B75,"")</f>
        <v>0.14893915719827544</v>
      </c>
      <c r="C50" s="2">
        <f>IFERROR(C13/'Balance Sheet US$'!C75,"")</f>
        <v>0.11455692521247438</v>
      </c>
      <c r="D50" s="2">
        <f>IFERROR(D13/'Balance Sheet US$'!D75,"")</f>
        <v>0.10009121420420944</v>
      </c>
      <c r="E50" s="2">
        <f>IFERROR(E13/'Balance Sheet US$'!E75,"")</f>
        <v>0.15615571018533966</v>
      </c>
      <c r="F50" s="2">
        <f>IFERROR(F13/'Balance Sheet US$'!F75,"")</f>
        <v>0.1707556692497296</v>
      </c>
      <c r="G50" s="2">
        <f>IFERROR(G13/'Balance Sheet US$'!G75,"")</f>
        <v>0.30346814174228515</v>
      </c>
      <c r="H50" s="2">
        <f>IFERROR(H13/'Balance Sheet US$'!H75,"")</f>
        <v>0.30456117525656401</v>
      </c>
      <c r="I50" s="2">
        <f>IFERROR(I13/'Balance Sheet US$'!I75,"")</f>
        <v>0.46316060914538715</v>
      </c>
      <c r="J50" s="2">
        <f>IFERROR(J13/'Balance Sheet US$'!J75,"")</f>
        <v>0.69906572904802167</v>
      </c>
      <c r="K50" s="2">
        <f>IFERROR(K13/'Balance Sheet US$'!K75,"")</f>
        <v>1.6677294669116691</v>
      </c>
      <c r="L50" s="2">
        <f>IFERROR(L13/'Balance Sheet US$'!L75,"")</f>
        <v>-0.43414748933285469</v>
      </c>
      <c r="M50" s="2">
        <f>IFERROR(M13/'Balance Sheet US$'!M75,"")</f>
        <v>-0.28397911276995275</v>
      </c>
    </row>
    <row r="51" spans="1:13" x14ac:dyDescent="0.3">
      <c r="A51" s="64" t="s">
        <v>224</v>
      </c>
      <c r="B51" s="2">
        <f>IFERROR(B40/'Balance Sheet US$'!B72,"")</f>
        <v>0.26481342733566526</v>
      </c>
      <c r="C51" s="2">
        <f>IFERROR(C40/'Balance Sheet US$'!C72,"")</f>
        <v>0.13985943776330101</v>
      </c>
      <c r="D51" s="2">
        <f>IFERROR(D40/'Balance Sheet US$'!D72,"")</f>
        <v>8.7896611895745685E-3</v>
      </c>
      <c r="E51" s="2">
        <f>IFERROR(E40/'Balance Sheet US$'!E72,"")</f>
        <v>-0.10834787260055669</v>
      </c>
      <c r="F51" s="2">
        <f>IFERROR(F40/'Balance Sheet US$'!F72,"")</f>
        <v>-0.22874760807560737</v>
      </c>
      <c r="G51" s="2">
        <f>IFERROR(G40/'Balance Sheet US$'!G72,"")</f>
        <v>4.0974920307941997E-17</v>
      </c>
      <c r="H51" s="2">
        <f>IFERROR(H40/'Balance Sheet US$'!H72,"")</f>
        <v>-0.13640609712828258</v>
      </c>
      <c r="I51" s="2">
        <f>IFERROR(I40/'Balance Sheet US$'!I72,"")</f>
        <v>0.13427837064583184</v>
      </c>
      <c r="J51" s="2">
        <f>IFERROR(J40/'Balance Sheet US$'!J72,"")</f>
        <v>0.21052555817152244</v>
      </c>
      <c r="K51" s="2">
        <f>IFERROR(K40/'Balance Sheet US$'!K72,"")</f>
        <v>1.0834986084925078</v>
      </c>
      <c r="L51" s="2">
        <f>IFERROR(L40/'Balance Sheet US$'!L72,"")</f>
        <v>-0.65371209294785548</v>
      </c>
      <c r="M51" s="2">
        <f>IFERROR(M40/'Balance Sheet US$'!M72,"")</f>
        <v>-0.4030023750036793</v>
      </c>
    </row>
    <row r="52" spans="1:13" x14ac:dyDescent="0.3">
      <c r="A52" s="64" t="s">
        <v>225</v>
      </c>
      <c r="B52" s="2">
        <f>IFERROR(B40/'Balance Sheet US$'!B75,"")</f>
        <v>0.13026931918328033</v>
      </c>
      <c r="C52" s="2">
        <f>IFERROR(C40/'Balance Sheet US$'!C75,"")</f>
        <v>6.7046882585595477E-2</v>
      </c>
      <c r="D52" s="2">
        <f>IFERROR(D40/'Balance Sheet US$'!D75,"")</f>
        <v>3.9663185115887114E-3</v>
      </c>
      <c r="E52" s="2">
        <f>IFERROR(E40/'Balance Sheet US$'!E75,"")</f>
        <v>-5.2051903395113223E-2</v>
      </c>
      <c r="F52" s="2">
        <f>IFERROR(F40/'Balance Sheet US$'!F75,"")</f>
        <v>-0.1250138475476808</v>
      </c>
      <c r="G52" s="2">
        <f>IFERROR(G40/'Balance Sheet US$'!G75,"")</f>
        <v>2.3828796198047653E-17</v>
      </c>
      <c r="H52" s="2">
        <f>IFERROR(H40/'Balance Sheet US$'!H75,"")</f>
        <v>-7.1782095178314728E-2</v>
      </c>
      <c r="I52" s="2">
        <f>IFERROR(I40/'Balance Sheet US$'!I75,"")</f>
        <v>5.4300422036402243E-2</v>
      </c>
      <c r="J52" s="2">
        <f>IFERROR(J40/'Balance Sheet US$'!J75,"")</f>
        <v>0.21052555817152244</v>
      </c>
      <c r="K52" s="2">
        <f>IFERROR(K40/'Balance Sheet US$'!K75,"")</f>
        <v>1.0834986084925078</v>
      </c>
      <c r="L52" s="2">
        <f>IFERROR(L40/'Balance Sheet US$'!L75,"")</f>
        <v>-0.65371209294785548</v>
      </c>
      <c r="M52" s="2">
        <f>IFERROR(M40/'Balance Sheet US$'!M75,"")</f>
        <v>-0.4030023750036793</v>
      </c>
    </row>
    <row r="53" spans="1:13" x14ac:dyDescent="0.3">
      <c r="A53" s="64" t="s">
        <v>302</v>
      </c>
      <c r="B53" s="2">
        <f>IFERROR('Balance Sheet US$'!B71/'Annual Income Statement US$'!B13,"")</f>
        <v>0.21040861880215089</v>
      </c>
      <c r="C53" s="2">
        <f>IFERROR('Balance Sheet US$'!C71/'Annual Income Statement US$'!C13,"")</f>
        <v>0.17495284374750253</v>
      </c>
      <c r="D53" s="2">
        <f>IFERROR('Balance Sheet US$'!D71/'Annual Income Statement US$'!D13,"")</f>
        <v>0.16760284256765673</v>
      </c>
      <c r="E53" s="2">
        <f>IFERROR('Balance Sheet US$'!E71/'Annual Income Statement US$'!E13,"")</f>
        <v>0.17271649242061057</v>
      </c>
      <c r="F53" s="2">
        <f>IFERROR('Balance Sheet US$'!F71/'Annual Income Statement US$'!F13,"")</f>
        <v>0.1538970803006329</v>
      </c>
      <c r="G53" s="2">
        <f>IFERROR('Balance Sheet US$'!G71/'Annual Income Statement US$'!G13,"")</f>
        <v>0.17776863484453417</v>
      </c>
      <c r="H53" s="2">
        <f>IFERROR('Balance Sheet US$'!H71/'Annual Income Statement US$'!H13,"")</f>
        <v>0.20036111987630859</v>
      </c>
      <c r="I53" s="2">
        <f>IFERROR('Balance Sheet US$'!I71/'Annual Income Statement US$'!I13,"")</f>
        <v>0.24170279295360789</v>
      </c>
      <c r="J53" s="2">
        <f>IFERROR('Balance Sheet US$'!J71/'Annual Income Statement US$'!J13,"")</f>
        <v>0.24890851451580315</v>
      </c>
      <c r="K53" s="2">
        <f>IFERROR('Balance Sheet US$'!K71/'Annual Income Statement US$'!K13,"")</f>
        <v>0.31443647982917822</v>
      </c>
      <c r="L53" s="2">
        <f>IFERROR('Balance Sheet US$'!L71/'Annual Income Statement US$'!L13,"")</f>
        <v>1.2699824506363739</v>
      </c>
      <c r="M53" s="2">
        <f>IFERROR('Balance Sheet US$'!M71/'Annual Income Statement US$'!M13,"")</f>
        <v>2.0276201914519549</v>
      </c>
    </row>
    <row r="54" spans="1:13" x14ac:dyDescent="0.3">
      <c r="A54" s="8" t="s">
        <v>292</v>
      </c>
      <c r="B54" s="10"/>
      <c r="C54" s="10"/>
      <c r="D54" s="10"/>
      <c r="E54" s="10"/>
      <c r="F54" s="10"/>
      <c r="G54" s="10"/>
      <c r="H54" s="10"/>
      <c r="I54" s="10"/>
      <c r="J54" s="10"/>
      <c r="K54" s="10"/>
      <c r="L54" s="10"/>
      <c r="M54" s="10"/>
    </row>
    <row r="55" spans="1:13" x14ac:dyDescent="0.3">
      <c r="A55" s="64"/>
      <c r="B55" s="2"/>
      <c r="C55" s="2"/>
      <c r="D55" s="2"/>
      <c r="E55" s="2"/>
      <c r="F55" s="2"/>
      <c r="G55" s="2"/>
      <c r="H55" s="2"/>
      <c r="I55" s="2"/>
      <c r="J55" s="2"/>
      <c r="K55" s="2"/>
      <c r="L55" s="2"/>
      <c r="M55" s="2"/>
    </row>
    <row r="56" spans="1:13" x14ac:dyDescent="0.3">
      <c r="A56" s="14" t="s">
        <v>300</v>
      </c>
      <c r="B56" s="21">
        <f>B13-'Annual Income Statement US$'!B27</f>
        <v>1025.0536308836236</v>
      </c>
      <c r="C56" s="21">
        <f>C13-'Annual Income Statement US$'!C27</f>
        <v>860.61304774329255</v>
      </c>
      <c r="D56" s="21">
        <f>D13-'Annual Income Statement US$'!D27</f>
        <v>765.27549917970464</v>
      </c>
      <c r="E56" s="21">
        <f>E13-'Annual Income Statement US$'!E27</f>
        <v>958.43853175373852</v>
      </c>
      <c r="F56" s="21">
        <f>F13-'Annual Income Statement US$'!F27</f>
        <v>1093.4947631401942</v>
      </c>
      <c r="G56" s="21">
        <f>G13-'Annual Income Statement US$'!G27</f>
        <v>1678.8898194312908</v>
      </c>
      <c r="H56" s="21">
        <f>H13-'Annual Income Statement US$'!H27</f>
        <v>1917.3885484893303</v>
      </c>
      <c r="I56" s="21">
        <f>I13-'Annual Income Statement US$'!I27</f>
        <v>2496.67050355023</v>
      </c>
      <c r="J56" s="21">
        <f>J13-'Annual Income Statement US$'!J27</f>
        <v>2677.5352319520935</v>
      </c>
      <c r="K56" s="21">
        <f>K13-'Annual Income Statement US$'!K27</f>
        <v>4304.7705177481348</v>
      </c>
      <c r="L56" s="21">
        <f>L13-'Annual Income Statement US$'!L27</f>
        <v>-1788.6055262057694</v>
      </c>
      <c r="M56" s="21">
        <f>M13-'Annual Income Statement US$'!M27</f>
        <v>-1828.1327201550682</v>
      </c>
    </row>
    <row r="57" spans="1:13" x14ac:dyDescent="0.3">
      <c r="A57" s="64" t="s">
        <v>293</v>
      </c>
      <c r="B57" s="45">
        <f t="shared" ref="B57:M57" si="27">MAX(0,-B14-B15-B25)</f>
        <v>0</v>
      </c>
      <c r="C57" s="45">
        <f t="shared" si="27"/>
        <v>0</v>
      </c>
      <c r="D57" s="45">
        <f t="shared" si="27"/>
        <v>286.10299707894842</v>
      </c>
      <c r="E57" s="45">
        <f t="shared" si="27"/>
        <v>0</v>
      </c>
      <c r="F57" s="45">
        <f t="shared" si="27"/>
        <v>241.18381858364569</v>
      </c>
      <c r="G57" s="45">
        <f t="shared" si="27"/>
        <v>694.25420505154079</v>
      </c>
      <c r="H57" s="45">
        <f t="shared" si="27"/>
        <v>23.391989375509411</v>
      </c>
      <c r="I57" s="45">
        <f t="shared" ref="I57:J57" si="28">MAX(0,-I14-I15-I25)</f>
        <v>1297.2518136311592</v>
      </c>
      <c r="J57" s="45">
        <f t="shared" si="28"/>
        <v>937.52314317630942</v>
      </c>
      <c r="K57" s="45">
        <f t="shared" ref="K57:L57" si="29">MAX(0,-K14-K15-K25)</f>
        <v>1508.0262265430704</v>
      </c>
      <c r="L57" s="45">
        <f t="shared" si="29"/>
        <v>0</v>
      </c>
      <c r="M57" s="45">
        <f t="shared" si="27"/>
        <v>0</v>
      </c>
    </row>
    <row r="58" spans="1:13" s="44" customFormat="1" x14ac:dyDescent="0.3">
      <c r="A58" s="42" t="s">
        <v>294</v>
      </c>
      <c r="B58" s="43">
        <f t="shared" ref="B58:M58" si="30">B56-B57</f>
        <v>1025.0536308836236</v>
      </c>
      <c r="C58" s="43">
        <f t="shared" si="30"/>
        <v>860.61304774329255</v>
      </c>
      <c r="D58" s="43">
        <f t="shared" si="30"/>
        <v>479.17250210075622</v>
      </c>
      <c r="E58" s="43">
        <f t="shared" si="30"/>
        <v>958.43853175373852</v>
      </c>
      <c r="F58" s="43">
        <f t="shared" si="30"/>
        <v>852.31094455654852</v>
      </c>
      <c r="G58" s="43">
        <f t="shared" si="30"/>
        <v>984.63561437975</v>
      </c>
      <c r="H58" s="43">
        <f t="shared" si="30"/>
        <v>1893.9965591138209</v>
      </c>
      <c r="I58" s="43">
        <f t="shared" ref="I58:J58" si="31">I56-I57</f>
        <v>1199.4186899190709</v>
      </c>
      <c r="J58" s="43">
        <f t="shared" si="31"/>
        <v>1740.0120887757839</v>
      </c>
      <c r="K58" s="43">
        <f t="shared" ref="K58:L58" si="32">K56-K57</f>
        <v>2796.7442912050647</v>
      </c>
      <c r="L58" s="43">
        <f t="shared" si="32"/>
        <v>-1788.6055262057694</v>
      </c>
      <c r="M58" s="43">
        <f t="shared" si="30"/>
        <v>-1828.1327201550682</v>
      </c>
    </row>
    <row r="59" spans="1:13" x14ac:dyDescent="0.3">
      <c r="A59" s="64"/>
      <c r="B59" s="21"/>
      <c r="C59" s="21"/>
      <c r="D59" s="21"/>
      <c r="E59" s="21"/>
      <c r="F59" s="21"/>
      <c r="G59" s="21"/>
      <c r="H59" s="21"/>
      <c r="I59" s="21"/>
      <c r="J59" s="21"/>
      <c r="K59" s="21"/>
      <c r="L59" s="21"/>
      <c r="M59" s="21"/>
    </row>
    <row r="60" spans="1:13" x14ac:dyDescent="0.3">
      <c r="A60" s="42" t="s">
        <v>299</v>
      </c>
      <c r="B60" s="21"/>
      <c r="C60" s="21"/>
      <c r="D60" s="21"/>
      <c r="E60" s="21"/>
      <c r="F60" s="21"/>
      <c r="G60" s="21"/>
      <c r="H60" s="21"/>
      <c r="I60" s="21"/>
      <c r="J60" s="21"/>
      <c r="K60" s="21"/>
      <c r="L60" s="21"/>
      <c r="M60" s="21"/>
    </row>
    <row r="61" spans="1:13" x14ac:dyDescent="0.3">
      <c r="A61" s="64" t="s">
        <v>295</v>
      </c>
      <c r="B61" s="21">
        <f>-'Annual Income Statement US$'!B27</f>
        <v>335.86037527058119</v>
      </c>
      <c r="C61" s="21">
        <f>-'Annual Income Statement US$'!C27</f>
        <v>338.78421973443363</v>
      </c>
      <c r="D61" s="21">
        <f>-'Annual Income Statement US$'!D27</f>
        <v>336.12100356128207</v>
      </c>
      <c r="E61" s="21">
        <f>-'Annual Income Statement US$'!E27</f>
        <v>308.79782482035347</v>
      </c>
      <c r="F61" s="21">
        <f>-'Annual Income Statement US$'!F27</f>
        <v>300.75910444892861</v>
      </c>
      <c r="G61" s="21">
        <f>-'Annual Income Statement US$'!G27</f>
        <v>276.29282343088374</v>
      </c>
      <c r="H61" s="21">
        <f>-'Annual Income Statement US$'!H27</f>
        <v>348.61609972533279</v>
      </c>
      <c r="I61" s="21">
        <f>-'Annual Income Statement US$'!I27</f>
        <v>387.48079706441399</v>
      </c>
      <c r="J61" s="21">
        <f>-'Annual Income Statement US$'!J27</f>
        <v>0</v>
      </c>
      <c r="K61" s="21">
        <f>-'Annual Income Statement US$'!K27</f>
        <v>0</v>
      </c>
      <c r="L61" s="21">
        <f>-'Annual Income Statement US$'!L27</f>
        <v>0</v>
      </c>
      <c r="M61" s="21">
        <f>-'Annual Income Statement US$'!M27</f>
        <v>0</v>
      </c>
    </row>
    <row r="62" spans="1:13" x14ac:dyDescent="0.3">
      <c r="A62" s="64" t="s">
        <v>296</v>
      </c>
      <c r="B62" s="45">
        <f t="shared" ref="B62:M62" si="33">-B27-B28</f>
        <v>1101.738514254652</v>
      </c>
      <c r="C62" s="45">
        <f t="shared" si="33"/>
        <v>614.86807641353926</v>
      </c>
      <c r="D62" s="45">
        <f t="shared" si="33"/>
        <v>442.15917730382938</v>
      </c>
      <c r="E62" s="45">
        <f t="shared" si="33"/>
        <v>1598.3686152650998</v>
      </c>
      <c r="F62" s="45">
        <f t="shared" si="33"/>
        <v>650.52368598059002</v>
      </c>
      <c r="G62" s="45">
        <f t="shared" si="33"/>
        <v>553.36834607828553</v>
      </c>
      <c r="H62" s="45">
        <f t="shared" si="33"/>
        <v>1716.6701880414114</v>
      </c>
      <c r="I62" s="45">
        <f t="shared" ref="I62:J62" si="34">-I27-I28</f>
        <v>627.05639922551291</v>
      </c>
      <c r="J62" s="45">
        <f t="shared" si="34"/>
        <v>1316.3905203775998</v>
      </c>
      <c r="K62" s="45">
        <f t="shared" ref="K62:L62" si="35">-K27-K28</f>
        <v>816.94174391438696</v>
      </c>
      <c r="L62" s="45">
        <f t="shared" si="35"/>
        <v>2066.8161605412183</v>
      </c>
      <c r="M62" s="45">
        <f t="shared" si="33"/>
        <v>3806.7728326555434</v>
      </c>
    </row>
    <row r="63" spans="1:13" s="44" customFormat="1" x14ac:dyDescent="0.3">
      <c r="A63" s="42" t="s">
        <v>297</v>
      </c>
      <c r="B63" s="43">
        <f t="shared" ref="B63:M63" si="36">B61+B62</f>
        <v>1437.5988895252333</v>
      </c>
      <c r="C63" s="43">
        <f t="shared" si="36"/>
        <v>953.65229614797295</v>
      </c>
      <c r="D63" s="43">
        <f t="shared" si="36"/>
        <v>778.28018086511145</v>
      </c>
      <c r="E63" s="43">
        <f t="shared" si="36"/>
        <v>1907.1664400854534</v>
      </c>
      <c r="F63" s="43">
        <f t="shared" si="36"/>
        <v>951.28279042951863</v>
      </c>
      <c r="G63" s="43">
        <f t="shared" si="36"/>
        <v>829.66116950916921</v>
      </c>
      <c r="H63" s="43">
        <f t="shared" si="36"/>
        <v>2065.286287766744</v>
      </c>
      <c r="I63" s="43">
        <f t="shared" ref="I63:J63" si="37">I61+I62</f>
        <v>1014.5371962899269</v>
      </c>
      <c r="J63" s="43">
        <f t="shared" si="37"/>
        <v>1316.3905203775998</v>
      </c>
      <c r="K63" s="43">
        <f t="shared" ref="K63:L63" si="38">K61+K62</f>
        <v>816.94174391438696</v>
      </c>
      <c r="L63" s="43">
        <f t="shared" si="38"/>
        <v>2066.8161605412183</v>
      </c>
      <c r="M63" s="43">
        <f t="shared" si="36"/>
        <v>3806.7728326555434</v>
      </c>
    </row>
    <row r="64" spans="1:13" s="44" customFormat="1" x14ac:dyDescent="0.3">
      <c r="A64" s="42" t="s">
        <v>298</v>
      </c>
      <c r="B64" s="81">
        <f>IFERROR(B58/B63,"")</f>
        <v>0.71303173531397712</v>
      </c>
      <c r="C64" s="81">
        <f t="shared" ref="C64:M64" si="39">IFERROR(C58/C63,"")</f>
        <v>0.90243902439024382</v>
      </c>
      <c r="D64" s="81">
        <f t="shared" si="39"/>
        <v>0.61568123393316188</v>
      </c>
      <c r="E64" s="81">
        <f t="shared" si="39"/>
        <v>0.50254582484725052</v>
      </c>
      <c r="F64" s="81">
        <f t="shared" si="39"/>
        <v>0.89595959595959596</v>
      </c>
      <c r="G64" s="81">
        <f t="shared" si="39"/>
        <v>1.1867924528301887</v>
      </c>
      <c r="H64" s="81">
        <f t="shared" si="39"/>
        <v>0.91706247716477907</v>
      </c>
      <c r="I64" s="81">
        <f t="shared" ref="I64:J64" si="40">IFERROR(I58/I63,"")</f>
        <v>1.1822323462414579</v>
      </c>
      <c r="J64" s="81">
        <f t="shared" si="40"/>
        <v>1.3218053927315356</v>
      </c>
      <c r="K64" s="81">
        <f t="shared" ref="K64:L64" si="41">IFERROR(K58/K63,"")</f>
        <v>3.4234317343173433</v>
      </c>
      <c r="L64" s="81">
        <f t="shared" si="41"/>
        <v>-0.86539168812063261</v>
      </c>
      <c r="M64" s="81">
        <f t="shared" si="39"/>
        <v>-0.48023162939297126</v>
      </c>
    </row>
    <row r="65" spans="1:13" s="44" customFormat="1" x14ac:dyDescent="0.3">
      <c r="A65" s="42" t="s">
        <v>301</v>
      </c>
      <c r="B65" s="46"/>
      <c r="C65" s="46">
        <f>'Annual Income Statement US$'!C97</f>
        <v>1.2112635515909873</v>
      </c>
      <c r="D65" s="46">
        <f>'Annual Income Statement US$'!D97</f>
        <v>1.3283467160748981</v>
      </c>
      <c r="E65" s="46">
        <f>'Annual Income Statement US$'!E97</f>
        <v>1.5161513426540512</v>
      </c>
      <c r="F65" s="46">
        <f>'Annual Income Statement US$'!F97</f>
        <v>1.6700965533198213</v>
      </c>
      <c r="G65" s="46">
        <f>'Annual Income Statement US$'!G97</f>
        <v>2.264157152023428</v>
      </c>
      <c r="H65" s="46">
        <f>'Annual Income Statement US$'!H97</f>
        <v>1.9006795141381689</v>
      </c>
      <c r="I65" s="46">
        <f>'Annual Income Statement US$'!I97</f>
        <v>2.0221136975813256</v>
      </c>
      <c r="J65" s="46">
        <f>'Annual Income Statement US$'!J97</f>
        <v>2.2599640797652478</v>
      </c>
      <c r="K65" s="46">
        <f>'Annual Income Statement US$'!K97</f>
        <v>2.3305297880510296</v>
      </c>
      <c r="L65" s="46">
        <f>'Annual Income Statement US$'!L97</f>
        <v>-1.0092501202808608</v>
      </c>
      <c r="M65" s="46"/>
    </row>
  </sheetData>
  <mergeCells count="1">
    <mergeCell ref="A1:M1"/>
  </mergeCells>
  <pageMargins left="0.70866141732283472" right="0.70866141732283472" top="0.74803149606299213" bottom="0.74803149606299213" header="0.31496062992125984" footer="0.31496062992125984"/>
  <pageSetup paperSize="9" scale="43" orientation="portrait" r:id="rId1"/>
  <headerFooter alignWithMargins="0"/>
  <ignoredErrors>
    <ignoredError sqref="B12:G12" formulaRange="1"/>
  </ignoredError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4" tint="0.79998168889431442"/>
  </sheetPr>
  <dimension ref="A1:AB65"/>
  <sheetViews>
    <sheetView view="pageBreakPreview" zoomScale="85" zoomScaleNormal="100" zoomScaleSheetLayoutView="85" workbookViewId="0">
      <pane xSplit="1" ySplit="7" topLeftCell="P41" activePane="bottomRight" state="frozen"/>
      <selection pane="topRight" activeCell="B1" sqref="B1"/>
      <selection pane="bottomLeft" activeCell="A8" sqref="A8"/>
      <selection pane="bottomRight" activeCell="AA68" sqref="Z68:AA68"/>
    </sheetView>
  </sheetViews>
  <sheetFormatPr defaultColWidth="8.88671875" defaultRowHeight="14.4" x14ac:dyDescent="0.3"/>
  <cols>
    <col min="1" max="1" width="80.109375" style="13" customWidth="1"/>
    <col min="2" max="6" width="10.44140625" style="13" bestFit="1" customWidth="1"/>
    <col min="7" max="21" width="10.44140625" style="13" customWidth="1"/>
    <col min="22" max="22" width="12" style="13" customWidth="1"/>
    <col min="23" max="23" width="12.109375" style="13" customWidth="1"/>
    <col min="24" max="24" width="10.5546875" style="13" customWidth="1"/>
    <col min="25" max="25" width="10.109375" style="13" customWidth="1"/>
    <col min="26" max="26" width="9.6640625" style="13" bestFit="1" customWidth="1"/>
    <col min="27" max="27" width="8.88671875" style="13"/>
    <col min="28" max="28" width="9.44140625" style="13" bestFit="1" customWidth="1"/>
    <col min="29" max="16384" width="8.88671875" style="13"/>
  </cols>
  <sheetData>
    <row r="1" spans="1:28" ht="28.8" x14ac:dyDescent="0.55000000000000004">
      <c r="A1" s="349" t="str">
        <f>IF(Inputs!$E$14="Semi-annual",(Inputs!$E$9&amp;" - Semi-annual Cash Flow (Reported)"),(Inputs!$E$9&amp;" - Qtrly Cash Flow (Reported)"))</f>
        <v>Air Canada - Qtrly Cash Flow (Reported)</v>
      </c>
      <c r="B1" s="349"/>
      <c r="C1" s="349"/>
      <c r="D1" s="349"/>
      <c r="E1" s="349"/>
      <c r="F1" s="349"/>
      <c r="G1" s="349"/>
      <c r="H1" s="349"/>
      <c r="I1" s="349"/>
      <c r="J1" s="349"/>
      <c r="K1" s="349"/>
      <c r="L1" s="349"/>
      <c r="M1" s="349"/>
      <c r="N1" s="349"/>
      <c r="O1" s="349"/>
      <c r="P1" s="349"/>
      <c r="Q1" s="349"/>
      <c r="R1" s="349"/>
      <c r="S1" s="69"/>
      <c r="T1" s="69"/>
      <c r="U1" s="69"/>
      <c r="V1" s="69"/>
      <c r="W1" s="69"/>
      <c r="X1" s="69"/>
      <c r="Y1" s="69"/>
      <c r="Z1" s="69"/>
    </row>
    <row r="2" spans="1:28" x14ac:dyDescent="0.3">
      <c r="A2" s="3"/>
      <c r="B2" s="3" t="str">
        <f>'Interim Operational Data'!B2</f>
        <v>Q1</v>
      </c>
      <c r="C2" s="3" t="str">
        <f>'Interim Operational Data'!C2</f>
        <v>Q2</v>
      </c>
      <c r="D2" s="3" t="str">
        <f>'Interim Operational Data'!D2</f>
        <v>Q3</v>
      </c>
      <c r="E2" s="3" t="str">
        <f>'Interim Operational Data'!E2</f>
        <v>Q4</v>
      </c>
      <c r="F2" s="3" t="str">
        <f>'Interim Operational Data'!F2</f>
        <v>Q1</v>
      </c>
      <c r="G2" s="3" t="str">
        <f>'Interim Operational Data'!G2</f>
        <v>Q2</v>
      </c>
      <c r="H2" s="3" t="str">
        <f>'Interim Operational Data'!H2</f>
        <v>Q3</v>
      </c>
      <c r="I2" s="3" t="str">
        <f>'Interim Operational Data'!I2</f>
        <v>Q4</v>
      </c>
      <c r="J2" s="3" t="str">
        <f>'Interim Operational Data'!J2</f>
        <v>Q1</v>
      </c>
      <c r="K2" s="3" t="str">
        <f>'Interim Operational Data'!K2</f>
        <v>Q2</v>
      </c>
      <c r="L2" s="3" t="str">
        <f>'Interim Operational Data'!L2</f>
        <v>Q3</v>
      </c>
      <c r="M2" s="3" t="str">
        <f>'Interim Operational Data'!M2</f>
        <v>Q4</v>
      </c>
      <c r="N2" s="3" t="str">
        <f>'Interim Operational Data'!N2</f>
        <v>Q1</v>
      </c>
      <c r="O2" s="3" t="str">
        <f>'Interim Operational Data'!O2</f>
        <v>Q2</v>
      </c>
      <c r="P2" s="3" t="str">
        <f>'Interim Operational Data'!P2</f>
        <v>Q3</v>
      </c>
      <c r="Q2" s="3" t="str">
        <f>'Interim Operational Data'!Q2</f>
        <v>Q4</v>
      </c>
      <c r="R2" s="3" t="str">
        <f>'Interim Operational Data'!R2</f>
        <v>Q1</v>
      </c>
      <c r="S2" s="3" t="str">
        <f>'Interim Operational Data'!S2</f>
        <v>Q2</v>
      </c>
      <c r="T2" s="3" t="str">
        <f>'Interim Operational Data'!T2</f>
        <v>Q3</v>
      </c>
      <c r="U2" s="3" t="str">
        <f>'Interim Operational Data'!U2</f>
        <v>Q4</v>
      </c>
      <c r="V2" s="3" t="str">
        <f>'Interim Operational Data'!V2</f>
        <v>Q1</v>
      </c>
      <c r="W2" s="3" t="str">
        <f>'Interim Operational Data'!W2</f>
        <v>Q2</v>
      </c>
      <c r="X2" s="3" t="str">
        <f>'Interim Operational Data'!X2</f>
        <v>Q3</v>
      </c>
      <c r="Y2" s="3" t="str">
        <f>'Interim Operational Data'!Y2</f>
        <v>Q4</v>
      </c>
      <c r="Z2" s="3" t="str">
        <f>'Interim Operational Data'!Z2</f>
        <v>Q1</v>
      </c>
      <c r="AA2" s="3" t="str">
        <f>'Interim Operational Data'!AA2</f>
        <v>Q2</v>
      </c>
      <c r="AB2" s="3" t="str">
        <f>'Interim Operational Data'!AB2</f>
        <v>Q3</v>
      </c>
    </row>
    <row r="3" spans="1:28" x14ac:dyDescent="0.3">
      <c r="A3" s="3"/>
      <c r="B3" s="7">
        <f>'Interim Operational Data'!B3</f>
        <v>42094</v>
      </c>
      <c r="C3" s="67">
        <f>'Interim Operational Data'!C3</f>
        <v>42185</v>
      </c>
      <c r="D3" s="67">
        <f>'Interim Operational Data'!D3</f>
        <v>42277</v>
      </c>
      <c r="E3" s="67">
        <f>'Interim Operational Data'!E3</f>
        <v>42369</v>
      </c>
      <c r="F3" s="67">
        <f>'Interim Operational Data'!F3</f>
        <v>42460</v>
      </c>
      <c r="G3" s="67">
        <f>'Interim Operational Data'!G3</f>
        <v>42551</v>
      </c>
      <c r="H3" s="67">
        <f>'Interim Operational Data'!H3</f>
        <v>42643</v>
      </c>
      <c r="I3" s="67">
        <f>'Interim Operational Data'!I3</f>
        <v>42735</v>
      </c>
      <c r="J3" s="67">
        <f>'Interim Operational Data'!J3</f>
        <v>42825</v>
      </c>
      <c r="K3" s="67">
        <f>'Interim Operational Data'!K3</f>
        <v>42916</v>
      </c>
      <c r="L3" s="67">
        <f>'Interim Operational Data'!L3</f>
        <v>43008</v>
      </c>
      <c r="M3" s="67">
        <f>'Interim Operational Data'!M3</f>
        <v>43100</v>
      </c>
      <c r="N3" s="67">
        <f>'Interim Operational Data'!N3</f>
        <v>43190</v>
      </c>
      <c r="O3" s="67">
        <f>'Interim Operational Data'!O3</f>
        <v>43281</v>
      </c>
      <c r="P3" s="67">
        <f>'Interim Operational Data'!P3</f>
        <v>43373</v>
      </c>
      <c r="Q3" s="67">
        <f>'Interim Operational Data'!Q3</f>
        <v>43465</v>
      </c>
      <c r="R3" s="67">
        <f>'Interim Operational Data'!R3</f>
        <v>43555</v>
      </c>
      <c r="S3" s="67">
        <f>'Interim Operational Data'!S3</f>
        <v>43646</v>
      </c>
      <c r="T3" s="67">
        <f>'Interim Operational Data'!T3</f>
        <v>43738</v>
      </c>
      <c r="U3" s="67">
        <f>'Interim Operational Data'!U3</f>
        <v>43830</v>
      </c>
      <c r="V3" s="67">
        <f>'Interim Operational Data'!V3</f>
        <v>43921</v>
      </c>
      <c r="W3" s="67">
        <f>'Interim Operational Data'!W3</f>
        <v>44012</v>
      </c>
      <c r="X3" s="67">
        <f>'Interim Operational Data'!X3</f>
        <v>44104</v>
      </c>
      <c r="Y3" s="67">
        <f>'Interim Operational Data'!Y3</f>
        <v>44196</v>
      </c>
      <c r="Z3" s="67">
        <f>'Interim Operational Data'!Z3</f>
        <v>44286</v>
      </c>
      <c r="AA3" s="67">
        <f>'Interim Operational Data'!AA3</f>
        <v>44377</v>
      </c>
      <c r="AB3" s="67">
        <f>'Interim Operational Data'!AB3</f>
        <v>44469</v>
      </c>
    </row>
    <row r="4" spans="1:28" x14ac:dyDescent="0.3">
      <c r="A4" s="3"/>
      <c r="B4" s="3" t="s">
        <v>1</v>
      </c>
      <c r="C4" s="66" t="s">
        <v>1</v>
      </c>
      <c r="D4" s="66" t="s">
        <v>1</v>
      </c>
      <c r="E4" s="66" t="s">
        <v>1</v>
      </c>
      <c r="F4" s="66" t="s">
        <v>1</v>
      </c>
      <c r="G4" s="66" t="s">
        <v>1</v>
      </c>
      <c r="H4" s="66" t="s">
        <v>1</v>
      </c>
      <c r="I4" s="66" t="s">
        <v>1</v>
      </c>
      <c r="J4" s="66" t="s">
        <v>1</v>
      </c>
      <c r="K4" s="66" t="s">
        <v>1</v>
      </c>
      <c r="L4" s="66" t="s">
        <v>1</v>
      </c>
      <c r="M4" s="66" t="s">
        <v>1</v>
      </c>
      <c r="N4" s="66" t="s">
        <v>1</v>
      </c>
      <c r="O4" s="66" t="s">
        <v>1</v>
      </c>
      <c r="P4" s="66" t="s">
        <v>1</v>
      </c>
      <c r="Q4" s="66" t="s">
        <v>1</v>
      </c>
      <c r="R4" s="66" t="s">
        <v>1</v>
      </c>
      <c r="S4" s="66" t="s">
        <v>1</v>
      </c>
      <c r="T4" s="66" t="s">
        <v>1</v>
      </c>
      <c r="U4" s="66" t="s">
        <v>1</v>
      </c>
      <c r="V4" s="66" t="s">
        <v>1</v>
      </c>
      <c r="W4" s="66" t="s">
        <v>1</v>
      </c>
      <c r="X4" s="66" t="s">
        <v>1</v>
      </c>
      <c r="Y4" s="66" t="s">
        <v>1</v>
      </c>
      <c r="Z4" s="66" t="s">
        <v>1</v>
      </c>
      <c r="AA4" s="66" t="s">
        <v>1</v>
      </c>
      <c r="AB4" s="66" t="s">
        <v>1</v>
      </c>
    </row>
    <row r="5" spans="1:28" x14ac:dyDescent="0.3">
      <c r="A5" s="3"/>
      <c r="B5" s="66" t="str">
        <f>Inputs!$E$18&amp;"m"</f>
        <v>CADm</v>
      </c>
      <c r="C5" s="66" t="str">
        <f>Inputs!$E$18&amp;"m"</f>
        <v>CADm</v>
      </c>
      <c r="D5" s="66" t="str">
        <f>Inputs!$E$18&amp;"m"</f>
        <v>CADm</v>
      </c>
      <c r="E5" s="66" t="str">
        <f>Inputs!$E$18&amp;"m"</f>
        <v>CADm</v>
      </c>
      <c r="F5" s="66" t="str">
        <f>Inputs!$E$18&amp;"m"</f>
        <v>CADm</v>
      </c>
      <c r="G5" s="66" t="str">
        <f>Inputs!$E$18&amp;"m"</f>
        <v>CADm</v>
      </c>
      <c r="H5" s="66" t="str">
        <f>Inputs!$E$18&amp;"m"</f>
        <v>CADm</v>
      </c>
      <c r="I5" s="66" t="str">
        <f>Inputs!$E$18&amp;"m"</f>
        <v>CADm</v>
      </c>
      <c r="J5" s="66" t="str">
        <f>Inputs!$E$18&amp;"m"</f>
        <v>CADm</v>
      </c>
      <c r="K5" s="66" t="str">
        <f>Inputs!$E$18&amp;"m"</f>
        <v>CADm</v>
      </c>
      <c r="L5" s="66" t="str">
        <f>Inputs!$E$18&amp;"m"</f>
        <v>CADm</v>
      </c>
      <c r="M5" s="66" t="str">
        <f>Inputs!$E$18&amp;"m"</f>
        <v>CADm</v>
      </c>
      <c r="N5" s="66" t="str">
        <f>Inputs!$E$18&amp;"m"</f>
        <v>CADm</v>
      </c>
      <c r="O5" s="66" t="str">
        <f>Inputs!$E$18&amp;"m"</f>
        <v>CADm</v>
      </c>
      <c r="P5" s="66" t="str">
        <f>Inputs!$E$18&amp;"m"</f>
        <v>CADm</v>
      </c>
      <c r="Q5" s="66" t="str">
        <f>Inputs!$E$18&amp;"m"</f>
        <v>CADm</v>
      </c>
      <c r="R5" s="66" t="str">
        <f>Inputs!$E$18&amp;"m"</f>
        <v>CADm</v>
      </c>
      <c r="S5" s="66" t="str">
        <f>Inputs!$E$18&amp;"m"</f>
        <v>CADm</v>
      </c>
      <c r="T5" s="66" t="str">
        <f>Inputs!$E$18&amp;"m"</f>
        <v>CADm</v>
      </c>
      <c r="U5" s="66" t="str">
        <f>Inputs!$E$18&amp;"m"</f>
        <v>CADm</v>
      </c>
      <c r="V5" s="66" t="str">
        <f>Inputs!$E$18&amp;"m"</f>
        <v>CADm</v>
      </c>
      <c r="W5" s="66" t="str">
        <f>Inputs!$E$18&amp;"m"</f>
        <v>CADm</v>
      </c>
      <c r="X5" s="66" t="str">
        <f>Inputs!$E$18&amp;"m"</f>
        <v>CADm</v>
      </c>
      <c r="Y5" s="66" t="str">
        <f>Inputs!$E$18&amp;"m"</f>
        <v>CADm</v>
      </c>
      <c r="Z5" s="66" t="str">
        <f>Inputs!$E$18&amp;"m"</f>
        <v>CADm</v>
      </c>
      <c r="AA5" s="66" t="str">
        <f>Inputs!$E$18&amp;"m"</f>
        <v>CADm</v>
      </c>
      <c r="AB5" s="66" t="str">
        <f>Inputs!$E$18&amp;"m"</f>
        <v>CADm</v>
      </c>
    </row>
    <row r="6" spans="1:28" x14ac:dyDescent="0.3">
      <c r="A6" s="3"/>
      <c r="B6" s="3"/>
      <c r="C6" s="3"/>
      <c r="D6" s="3"/>
      <c r="E6" s="3"/>
      <c r="F6" s="3"/>
      <c r="G6" s="3"/>
      <c r="H6" s="3"/>
      <c r="I6" s="3"/>
      <c r="J6" s="3"/>
      <c r="K6" s="3"/>
      <c r="L6" s="3"/>
      <c r="M6" s="3"/>
      <c r="N6" s="3"/>
      <c r="O6" s="3"/>
      <c r="P6" s="3"/>
      <c r="Q6" s="3"/>
      <c r="R6" s="3"/>
      <c r="S6" s="3"/>
      <c r="T6" s="3"/>
      <c r="U6" s="3"/>
      <c r="V6" s="3"/>
      <c r="W6" s="3"/>
      <c r="X6" s="3"/>
      <c r="Y6" s="3"/>
      <c r="Z6" s="3"/>
      <c r="AA6" s="3"/>
      <c r="AB6" s="3"/>
    </row>
    <row r="7" spans="1:28" x14ac:dyDescent="0.3">
      <c r="A7" s="3"/>
      <c r="B7" s="20"/>
      <c r="C7" s="20"/>
      <c r="D7" s="20"/>
      <c r="E7" s="20"/>
      <c r="F7" s="20"/>
      <c r="G7" s="20"/>
      <c r="H7" s="20"/>
      <c r="I7" s="20"/>
      <c r="J7" s="20"/>
      <c r="K7" s="20"/>
      <c r="L7" s="20"/>
      <c r="M7" s="20"/>
      <c r="N7" s="20"/>
      <c r="O7" s="20"/>
      <c r="P7" s="20"/>
      <c r="Q7" s="20"/>
      <c r="R7" s="20"/>
      <c r="S7" s="20"/>
      <c r="T7" s="20"/>
      <c r="U7" s="20"/>
      <c r="V7" s="20"/>
      <c r="W7" s="20"/>
      <c r="X7" s="20"/>
      <c r="Y7" s="20"/>
      <c r="Z7" s="20"/>
      <c r="AA7" s="20"/>
      <c r="AB7" s="20"/>
    </row>
    <row r="8" spans="1:28" x14ac:dyDescent="0.3">
      <c r="A8" s="98" t="s">
        <v>480</v>
      </c>
      <c r="B8" s="38">
        <f>808+11-574+7+35</f>
        <v>287</v>
      </c>
      <c r="C8" s="38">
        <f>512+30-132-9</f>
        <v>401</v>
      </c>
      <c r="D8" s="38">
        <f>452+470-20</f>
        <v>902</v>
      </c>
      <c r="E8" s="38">
        <v>202</v>
      </c>
      <c r="F8" s="38">
        <f>974-656-36</f>
        <v>282</v>
      </c>
      <c r="G8" s="38">
        <f>657+2-250-39</f>
        <v>370</v>
      </c>
      <c r="H8" s="38">
        <f>438+679-37</f>
        <v>1080</v>
      </c>
      <c r="I8" s="38">
        <v>347</v>
      </c>
      <c r="J8" s="38">
        <f>1027-810-34</f>
        <v>183</v>
      </c>
      <c r="K8" s="38">
        <f>829-20-272-15+17-53</f>
        <v>486</v>
      </c>
      <c r="L8" s="38">
        <f>493+724-34</f>
        <v>1183</v>
      </c>
      <c r="M8" s="38">
        <v>886</v>
      </c>
      <c r="N8" s="38">
        <f>1111-N11</f>
        <v>284</v>
      </c>
      <c r="O8" s="38">
        <f>853-O11</f>
        <v>469</v>
      </c>
      <c r="P8" s="38">
        <f>371-P11</f>
        <v>1194</v>
      </c>
      <c r="Q8" s="38">
        <v>748</v>
      </c>
      <c r="R8" s="38">
        <f>3111-R11</f>
        <v>2173</v>
      </c>
      <c r="S8" s="38">
        <f>1090-S11</f>
        <v>868</v>
      </c>
      <c r="T8" s="38">
        <f>834-T11</f>
        <v>1407</v>
      </c>
      <c r="U8" s="38">
        <f>'Annual Cash Flow Reported'!K8-T8-S8-R8</f>
        <v>1264</v>
      </c>
      <c r="V8" s="38">
        <f>-20-V11</f>
        <v>78</v>
      </c>
      <c r="W8" s="38">
        <f>-1752+278+487-264+99+40+34+330+47</f>
        <v>-701</v>
      </c>
      <c r="X8" s="38">
        <f>-685-140+423-112+49-46-78</f>
        <v>-589</v>
      </c>
      <c r="Y8" s="38">
        <f>'Annual Cash Flow Reported'!L8-SUM('Interim Cash Flow Reported'!V8:X8)</f>
        <v>-1141</v>
      </c>
      <c r="Z8" s="38">
        <v>-888</v>
      </c>
      <c r="AA8" s="38">
        <v>-1377</v>
      </c>
      <c r="AB8" s="38">
        <v>269</v>
      </c>
    </row>
    <row r="9" spans="1:28" x14ac:dyDescent="0.3">
      <c r="A9" s="85" t="s">
        <v>184</v>
      </c>
      <c r="B9" s="32"/>
      <c r="C9" s="32"/>
      <c r="D9" s="32"/>
      <c r="E9" s="32"/>
      <c r="F9" s="32"/>
      <c r="G9" s="32"/>
      <c r="H9" s="32"/>
      <c r="I9" s="32"/>
      <c r="J9" s="32"/>
      <c r="K9" s="32"/>
      <c r="L9" s="32"/>
      <c r="M9" s="32"/>
      <c r="N9" s="32"/>
      <c r="O9" s="32"/>
      <c r="P9" s="32"/>
      <c r="Q9" s="32"/>
      <c r="R9" s="32"/>
      <c r="S9" s="32"/>
      <c r="T9" s="32"/>
      <c r="U9" s="32">
        <f>'Annual Cash Flow Reported'!K9-T9-S9-R9</f>
        <v>0</v>
      </c>
      <c r="V9" s="32"/>
      <c r="W9" s="32"/>
      <c r="X9" s="32"/>
      <c r="Y9" s="335">
        <f>'Annual Cash Flow Reported'!L9-SUM('Interim Cash Flow Reported'!V9:X9)</f>
        <v>0</v>
      </c>
      <c r="Z9" s="335"/>
      <c r="AA9" s="335"/>
      <c r="AB9" s="335"/>
    </row>
    <row r="10" spans="1:28" x14ac:dyDescent="0.3">
      <c r="A10" s="85" t="s">
        <v>185</v>
      </c>
      <c r="B10" s="32"/>
      <c r="C10" s="32"/>
      <c r="D10" s="32"/>
      <c r="E10" s="32"/>
      <c r="F10" s="32"/>
      <c r="G10" s="32"/>
      <c r="H10" s="32"/>
      <c r="I10" s="32"/>
      <c r="J10" s="32"/>
      <c r="K10" s="32"/>
      <c r="L10" s="32"/>
      <c r="M10" s="32"/>
      <c r="N10" s="32"/>
      <c r="O10" s="32"/>
      <c r="P10" s="32"/>
      <c r="Q10" s="32"/>
      <c r="R10" s="32"/>
      <c r="S10" s="32"/>
      <c r="T10" s="32"/>
      <c r="U10" s="32">
        <f>'Annual Cash Flow Reported'!K10-T10-S10-R10</f>
        <v>0</v>
      </c>
      <c r="V10" s="32"/>
      <c r="W10" s="32"/>
      <c r="X10" s="32"/>
      <c r="Y10" s="335">
        <f>'Annual Cash Flow Reported'!L10-SUM('Interim Cash Flow Reported'!V10:X10)</f>
        <v>0</v>
      </c>
      <c r="Z10" s="335"/>
      <c r="AA10" s="335"/>
      <c r="AB10" s="335"/>
    </row>
    <row r="11" spans="1:28" x14ac:dyDescent="0.3">
      <c r="A11" s="85" t="s">
        <v>186</v>
      </c>
      <c r="B11" s="36">
        <f>-11+574-7</f>
        <v>556</v>
      </c>
      <c r="C11" s="36">
        <f>9+132-30</f>
        <v>111</v>
      </c>
      <c r="D11" s="36">
        <f>-470+20</f>
        <v>-450</v>
      </c>
      <c r="E11" s="36">
        <v>-217</v>
      </c>
      <c r="F11" s="36"/>
      <c r="G11" s="36">
        <f>-2+250+39</f>
        <v>287</v>
      </c>
      <c r="H11" s="36">
        <f>-679+37</f>
        <v>-642</v>
      </c>
      <c r="I11" s="36">
        <v>355</v>
      </c>
      <c r="J11" s="36">
        <f>810+34</f>
        <v>844</v>
      </c>
      <c r="K11" s="36">
        <f>53-17+15+272+20</f>
        <v>343</v>
      </c>
      <c r="L11" s="36">
        <f>-724+34</f>
        <v>-690</v>
      </c>
      <c r="M11" s="36">
        <v>-497</v>
      </c>
      <c r="N11" s="36">
        <v>827</v>
      </c>
      <c r="O11" s="36">
        <v>384</v>
      </c>
      <c r="P11" s="36">
        <v>-823</v>
      </c>
      <c r="Q11" s="36">
        <v>-388</v>
      </c>
      <c r="R11" s="36">
        <v>938</v>
      </c>
      <c r="S11" s="36">
        <f>38+184</f>
        <v>222</v>
      </c>
      <c r="T11" s="36">
        <f>-578+5</f>
        <v>-573</v>
      </c>
      <c r="U11" s="36">
        <f>'Annual Cash Flow Reported'!K11-T11-S11-R11</f>
        <v>-587</v>
      </c>
      <c r="V11" s="36">
        <f>-98</f>
        <v>-98</v>
      </c>
      <c r="W11" s="36">
        <f>-550</f>
        <v>-550</v>
      </c>
      <c r="X11" s="36">
        <f>286-3+20</f>
        <v>303</v>
      </c>
      <c r="Y11" s="335">
        <f>'Annual Cash Flow Reported'!L11-SUM('Interim Cash Flow Reported'!V11:X11)</f>
        <v>345</v>
      </c>
      <c r="Z11" s="335">
        <f>-Z28</f>
        <v>101</v>
      </c>
      <c r="AA11" s="335">
        <v>150</v>
      </c>
      <c r="AB11" s="335">
        <v>136</v>
      </c>
    </row>
    <row r="12" spans="1:28" x14ac:dyDescent="0.3">
      <c r="A12" s="14" t="s">
        <v>187</v>
      </c>
      <c r="B12" s="23">
        <f>SUM(B9:B11)</f>
        <v>556</v>
      </c>
      <c r="C12" s="23">
        <f t="shared" ref="C12:O12" si="0">SUM(C9:C11)</f>
        <v>111</v>
      </c>
      <c r="D12" s="23">
        <f t="shared" si="0"/>
        <v>-450</v>
      </c>
      <c r="E12" s="23">
        <f>SUM(E9:E11)</f>
        <v>-217</v>
      </c>
      <c r="F12" s="23">
        <f t="shared" si="0"/>
        <v>0</v>
      </c>
      <c r="G12" s="23">
        <f t="shared" si="0"/>
        <v>287</v>
      </c>
      <c r="H12" s="23">
        <f t="shared" si="0"/>
        <v>-642</v>
      </c>
      <c r="I12" s="23">
        <f t="shared" si="0"/>
        <v>355</v>
      </c>
      <c r="J12" s="23">
        <f t="shared" si="0"/>
        <v>844</v>
      </c>
      <c r="K12" s="23">
        <f t="shared" si="0"/>
        <v>343</v>
      </c>
      <c r="L12" s="23">
        <f t="shared" si="0"/>
        <v>-690</v>
      </c>
      <c r="M12" s="23">
        <f t="shared" si="0"/>
        <v>-497</v>
      </c>
      <c r="N12" s="23">
        <f t="shared" si="0"/>
        <v>827</v>
      </c>
      <c r="O12" s="23">
        <f t="shared" si="0"/>
        <v>384</v>
      </c>
      <c r="P12" s="23">
        <f t="shared" ref="P12:T12" si="1">SUM(P9:P11)</f>
        <v>-823</v>
      </c>
      <c r="Q12" s="23">
        <f>SUM(Q9:Q11)</f>
        <v>-388</v>
      </c>
      <c r="R12" s="23">
        <f t="shared" si="1"/>
        <v>938</v>
      </c>
      <c r="S12" s="23">
        <f t="shared" si="1"/>
        <v>222</v>
      </c>
      <c r="T12" s="23">
        <f t="shared" si="1"/>
        <v>-573</v>
      </c>
      <c r="U12" s="23">
        <f t="shared" ref="U12:Y12" si="2">SUM(U9:U11)</f>
        <v>-587</v>
      </c>
      <c r="V12" s="23">
        <f t="shared" si="2"/>
        <v>-98</v>
      </c>
      <c r="W12" s="23">
        <f t="shared" si="2"/>
        <v>-550</v>
      </c>
      <c r="X12" s="23">
        <f t="shared" si="2"/>
        <v>303</v>
      </c>
      <c r="Y12" s="23">
        <f t="shared" si="2"/>
        <v>345</v>
      </c>
      <c r="Z12" s="23">
        <f t="shared" ref="Z12:AB12" si="3">SUM(Z9:Z11)</f>
        <v>101</v>
      </c>
      <c r="AA12" s="23">
        <f t="shared" si="3"/>
        <v>150</v>
      </c>
      <c r="AB12" s="23">
        <f t="shared" si="3"/>
        <v>136</v>
      </c>
    </row>
    <row r="13" spans="1:28" x14ac:dyDescent="0.3">
      <c r="A13" s="14" t="s">
        <v>188</v>
      </c>
      <c r="B13" s="22">
        <f>B8+B12</f>
        <v>843</v>
      </c>
      <c r="C13" s="22">
        <f t="shared" ref="C13:O13" si="4">C8+C12</f>
        <v>512</v>
      </c>
      <c r="D13" s="22">
        <f t="shared" si="4"/>
        <v>452</v>
      </c>
      <c r="E13" s="22">
        <f t="shared" si="4"/>
        <v>-15</v>
      </c>
      <c r="F13" s="22">
        <f t="shared" si="4"/>
        <v>282</v>
      </c>
      <c r="G13" s="22">
        <f t="shared" si="4"/>
        <v>657</v>
      </c>
      <c r="H13" s="22">
        <f t="shared" si="4"/>
        <v>438</v>
      </c>
      <c r="I13" s="22">
        <f t="shared" si="4"/>
        <v>702</v>
      </c>
      <c r="J13" s="22">
        <f t="shared" si="4"/>
        <v>1027</v>
      </c>
      <c r="K13" s="22">
        <f t="shared" si="4"/>
        <v>829</v>
      </c>
      <c r="L13" s="22">
        <f t="shared" si="4"/>
        <v>493</v>
      </c>
      <c r="M13" s="22">
        <f t="shared" si="4"/>
        <v>389</v>
      </c>
      <c r="N13" s="22">
        <f t="shared" si="4"/>
        <v>1111</v>
      </c>
      <c r="O13" s="22">
        <f t="shared" si="4"/>
        <v>853</v>
      </c>
      <c r="P13" s="22">
        <f t="shared" ref="P13:T13" si="5">P8+P12</f>
        <v>371</v>
      </c>
      <c r="Q13" s="22">
        <f t="shared" si="5"/>
        <v>360</v>
      </c>
      <c r="R13" s="22">
        <f t="shared" si="5"/>
        <v>3111</v>
      </c>
      <c r="S13" s="22">
        <f t="shared" si="5"/>
        <v>1090</v>
      </c>
      <c r="T13" s="22">
        <f t="shared" si="5"/>
        <v>834</v>
      </c>
      <c r="U13" s="22">
        <f t="shared" ref="U13:Y13" si="6">U8+U12</f>
        <v>677</v>
      </c>
      <c r="V13" s="22">
        <f t="shared" si="6"/>
        <v>-20</v>
      </c>
      <c r="W13" s="22">
        <f t="shared" si="6"/>
        <v>-1251</v>
      </c>
      <c r="X13" s="22">
        <f t="shared" si="6"/>
        <v>-286</v>
      </c>
      <c r="Y13" s="22">
        <f t="shared" si="6"/>
        <v>-796</v>
      </c>
      <c r="Z13" s="22">
        <f t="shared" ref="Z13:AB13" si="7">Z8+Z12</f>
        <v>-787</v>
      </c>
      <c r="AA13" s="22">
        <f t="shared" si="7"/>
        <v>-1227</v>
      </c>
      <c r="AB13" s="22">
        <f t="shared" si="7"/>
        <v>405</v>
      </c>
    </row>
    <row r="14" spans="1:28" x14ac:dyDescent="0.3">
      <c r="A14" s="85" t="s">
        <v>189</v>
      </c>
      <c r="B14" s="32">
        <v>-425</v>
      </c>
      <c r="C14" s="32">
        <v>-210</v>
      </c>
      <c r="D14" s="32">
        <v>-566</v>
      </c>
      <c r="E14" s="32">
        <v>-614</v>
      </c>
      <c r="F14" s="32">
        <v>-1116</v>
      </c>
      <c r="G14" s="32">
        <v>-1452</v>
      </c>
      <c r="H14" s="32">
        <v>-123</v>
      </c>
      <c r="I14" s="32">
        <v>-230</v>
      </c>
      <c r="J14" s="32">
        <v>-926</v>
      </c>
      <c r="K14" s="32">
        <v>-895</v>
      </c>
      <c r="L14" s="32">
        <v>-169</v>
      </c>
      <c r="M14" s="32">
        <v>-432</v>
      </c>
      <c r="N14" s="32">
        <v>-918</v>
      </c>
      <c r="O14" s="32">
        <v>-866</v>
      </c>
      <c r="P14" s="32">
        <v>-194</v>
      </c>
      <c r="Q14" s="32">
        <v>-219</v>
      </c>
      <c r="R14" s="32">
        <v>-920</v>
      </c>
      <c r="S14" s="32">
        <v>-553</v>
      </c>
      <c r="T14" s="32">
        <v>-301</v>
      </c>
      <c r="U14" s="32">
        <f>'Annual Cash Flow Reported'!K14-T14-S14-R14</f>
        <v>-251</v>
      </c>
      <c r="V14" s="32">
        <f>-373</f>
        <v>-373</v>
      </c>
      <c r="W14" s="32">
        <f>-212</f>
        <v>-212</v>
      </c>
      <c r="X14" s="32">
        <f>-282</f>
        <v>-282</v>
      </c>
      <c r="Y14" s="335">
        <f>'Annual Cash Flow Reported'!L14-SUM('Interim Cash Flow Reported'!V14:X14)</f>
        <v>-335</v>
      </c>
      <c r="Z14" s="335">
        <v>-280</v>
      </c>
      <c r="AA14" s="335">
        <v>-266</v>
      </c>
      <c r="AB14" s="335">
        <v>-149</v>
      </c>
    </row>
    <row r="15" spans="1:28" x14ac:dyDescent="0.3">
      <c r="A15" s="85" t="s">
        <v>190</v>
      </c>
      <c r="B15" s="32">
        <v>1</v>
      </c>
      <c r="C15" s="32">
        <v>9</v>
      </c>
      <c r="D15" s="32">
        <v>7</v>
      </c>
      <c r="E15" s="32">
        <v>6</v>
      </c>
      <c r="F15" s="32">
        <v>144</v>
      </c>
      <c r="G15" s="32">
        <v>150</v>
      </c>
      <c r="H15" s="32">
        <v>55</v>
      </c>
      <c r="I15" s="32">
        <v>3</v>
      </c>
      <c r="J15" s="32">
        <v>1</v>
      </c>
      <c r="K15" s="32">
        <v>1</v>
      </c>
      <c r="L15" s="32">
        <v>1</v>
      </c>
      <c r="M15" s="32">
        <v>2</v>
      </c>
      <c r="N15" s="32">
        <v>1</v>
      </c>
      <c r="O15" s="32">
        <v>5</v>
      </c>
      <c r="P15" s="32">
        <f>4</f>
        <v>4</v>
      </c>
      <c r="Q15" s="32">
        <v>1</v>
      </c>
      <c r="R15" s="32">
        <v>2</v>
      </c>
      <c r="S15" s="32">
        <v>1</v>
      </c>
      <c r="T15" s="32">
        <f>3-S15-R15</f>
        <v>0</v>
      </c>
      <c r="U15" s="32">
        <f>'Annual Cash Flow Reported'!K15-T15-S15-R15</f>
        <v>21</v>
      </c>
      <c r="V15" s="32">
        <v>2</v>
      </c>
      <c r="W15" s="32">
        <v>2</v>
      </c>
      <c r="X15" s="32">
        <v>2</v>
      </c>
      <c r="Y15" s="335">
        <f>'Annual Cash Flow Reported'!L15-SUM('Interim Cash Flow Reported'!V15:X15)</f>
        <v>6</v>
      </c>
      <c r="Z15" s="335">
        <f>5</f>
        <v>5</v>
      </c>
      <c r="AA15" s="335">
        <f>6</f>
        <v>6</v>
      </c>
      <c r="AB15" s="335">
        <v>5</v>
      </c>
    </row>
    <row r="16" spans="1:28" x14ac:dyDescent="0.3">
      <c r="A16" s="85" t="s">
        <v>191</v>
      </c>
      <c r="B16" s="32"/>
      <c r="C16" s="32"/>
      <c r="D16" s="32"/>
      <c r="E16" s="32"/>
      <c r="F16" s="32"/>
      <c r="G16" s="32"/>
      <c r="H16" s="32"/>
      <c r="I16" s="32"/>
      <c r="J16" s="32"/>
      <c r="K16" s="32"/>
      <c r="L16" s="32"/>
      <c r="M16" s="32"/>
      <c r="N16" s="32"/>
      <c r="O16" s="32"/>
      <c r="P16" s="32"/>
      <c r="Q16" s="32"/>
      <c r="R16" s="32"/>
      <c r="S16" s="32"/>
      <c r="T16" s="32"/>
      <c r="U16" s="32">
        <f>'Annual Cash Flow Reported'!K16-T16-S16-R16</f>
        <v>0</v>
      </c>
      <c r="V16" s="32"/>
      <c r="W16" s="32"/>
      <c r="X16" s="32"/>
      <c r="Y16" s="335">
        <f>'Annual Cash Flow Reported'!L16-SUM('Interim Cash Flow Reported'!V16:X16)</f>
        <v>0</v>
      </c>
      <c r="Z16" s="335"/>
      <c r="AA16" s="335"/>
      <c r="AB16" s="335"/>
    </row>
    <row r="17" spans="1:28" x14ac:dyDescent="0.3">
      <c r="A17" s="85" t="s">
        <v>192</v>
      </c>
      <c r="B17" s="32"/>
      <c r="C17" s="32"/>
      <c r="D17" s="32"/>
      <c r="E17" s="32"/>
      <c r="F17" s="32"/>
      <c r="G17" s="32"/>
      <c r="H17" s="32"/>
      <c r="I17" s="32"/>
      <c r="J17" s="32"/>
      <c r="K17" s="32"/>
      <c r="L17" s="32"/>
      <c r="M17" s="32"/>
      <c r="N17" s="32"/>
      <c r="O17" s="32"/>
      <c r="P17" s="32"/>
      <c r="Q17" s="32"/>
      <c r="R17" s="32">
        <f>-497-97</f>
        <v>-594</v>
      </c>
      <c r="S17" s="32">
        <v>-20</v>
      </c>
      <c r="T17" s="32">
        <v>0</v>
      </c>
      <c r="U17" s="32">
        <f>'Annual Cash Flow Reported'!K17-T17-S17-R17</f>
        <v>0</v>
      </c>
      <c r="V17" s="32">
        <f>408</f>
        <v>408</v>
      </c>
      <c r="W17" s="32">
        <f>-112</f>
        <v>-112</v>
      </c>
      <c r="X17" s="32"/>
      <c r="Y17" s="335">
        <f>'Annual Cash Flow Reported'!L17-SUM('Interim Cash Flow Reported'!V17:X17)</f>
        <v>-296</v>
      </c>
      <c r="Z17" s="335"/>
      <c r="AA17" s="335"/>
      <c r="AB17" s="335"/>
    </row>
    <row r="18" spans="1:28" x14ac:dyDescent="0.3">
      <c r="A18" s="85" t="s">
        <v>193</v>
      </c>
      <c r="B18" s="32"/>
      <c r="C18" s="32"/>
      <c r="D18" s="32"/>
      <c r="E18" s="32"/>
      <c r="F18" s="32"/>
      <c r="G18" s="32"/>
      <c r="H18" s="32"/>
      <c r="I18" s="32"/>
      <c r="J18" s="32"/>
      <c r="K18" s="32"/>
      <c r="L18" s="32"/>
      <c r="M18" s="32"/>
      <c r="N18" s="32"/>
      <c r="O18" s="32"/>
      <c r="P18" s="32"/>
      <c r="Q18" s="32"/>
      <c r="R18" s="32"/>
      <c r="S18" s="32"/>
      <c r="T18" s="32"/>
      <c r="U18" s="32">
        <f>'Annual Cash Flow Reported'!K18-T18-S18-R18</f>
        <v>0</v>
      </c>
      <c r="V18" s="32"/>
      <c r="W18" s="32"/>
      <c r="X18" s="32"/>
      <c r="Y18" s="335">
        <f>'Annual Cash Flow Reported'!L18-SUM('Interim Cash Flow Reported'!V18:X18)</f>
        <v>0</v>
      </c>
      <c r="Z18" s="335"/>
      <c r="AA18" s="335"/>
      <c r="AB18" s="335"/>
    </row>
    <row r="19" spans="1:28" x14ac:dyDescent="0.3">
      <c r="A19" s="85" t="s">
        <v>194</v>
      </c>
      <c r="B19" s="32">
        <v>-151</v>
      </c>
      <c r="C19" s="32">
        <v>-139</v>
      </c>
      <c r="D19" s="32">
        <v>-227</v>
      </c>
      <c r="E19" s="32">
        <v>119</v>
      </c>
      <c r="F19" s="32">
        <v>36</v>
      </c>
      <c r="G19" s="32">
        <v>-229</v>
      </c>
      <c r="H19" s="32">
        <v>-144</v>
      </c>
      <c r="I19" s="32">
        <v>238</v>
      </c>
      <c r="J19" s="32">
        <v>-162</v>
      </c>
      <c r="K19" s="32">
        <v>-413</v>
      </c>
      <c r="L19" s="32">
        <v>-256</v>
      </c>
      <c r="M19" s="32">
        <v>-167</v>
      </c>
      <c r="N19" s="32">
        <v>-121</v>
      </c>
      <c r="O19" s="32">
        <v>-504</v>
      </c>
      <c r="P19" s="32">
        <v>-259</v>
      </c>
      <c r="Q19" s="32">
        <v>36</v>
      </c>
      <c r="R19" s="32">
        <f>-219-161</f>
        <v>-380</v>
      </c>
      <c r="S19" s="32">
        <v>-139</v>
      </c>
      <c r="T19" s="32">
        <f>197</f>
        <v>197</v>
      </c>
      <c r="U19" s="32">
        <f>'Annual Cash Flow Reported'!K19-T19-S19-R19</f>
        <v>67</v>
      </c>
      <c r="V19" s="32"/>
      <c r="W19" s="32"/>
      <c r="X19" s="32">
        <v>-368</v>
      </c>
      <c r="Y19" s="335">
        <f>'Annual Cash Flow Reported'!L19-SUM('Interim Cash Flow Reported'!V19:X19)</f>
        <v>305</v>
      </c>
      <c r="Z19" s="335">
        <f>994</f>
        <v>994</v>
      </c>
      <c r="AA19" s="335">
        <v>356</v>
      </c>
      <c r="AB19" s="335">
        <v>-1299</v>
      </c>
    </row>
    <row r="20" spans="1:28" x14ac:dyDescent="0.3">
      <c r="A20" s="85" t="s">
        <v>195</v>
      </c>
      <c r="B20" s="32"/>
      <c r="C20" s="32"/>
      <c r="D20" s="32"/>
      <c r="E20" s="32"/>
      <c r="F20" s="32"/>
      <c r="G20" s="32"/>
      <c r="H20" s="32"/>
      <c r="I20" s="32"/>
      <c r="J20" s="32"/>
      <c r="K20" s="32"/>
      <c r="L20" s="32"/>
      <c r="M20" s="32"/>
      <c r="N20" s="32"/>
      <c r="O20" s="32"/>
      <c r="P20" s="32"/>
      <c r="Q20" s="32"/>
      <c r="R20" s="32"/>
      <c r="S20" s="32"/>
      <c r="T20" s="32"/>
      <c r="U20" s="32">
        <f>'Annual Cash Flow Reported'!K20-T20-S20-R20</f>
        <v>0</v>
      </c>
      <c r="V20" s="32"/>
      <c r="W20" s="32"/>
      <c r="X20" s="32"/>
      <c r="Y20" s="335">
        <f>'Annual Cash Flow Reported'!L20-SUM('Interim Cash Flow Reported'!V20:X20)</f>
        <v>0</v>
      </c>
      <c r="Z20" s="335"/>
      <c r="AA20" s="335"/>
      <c r="AB20" s="335"/>
    </row>
    <row r="21" spans="1:28" x14ac:dyDescent="0.3">
      <c r="A21" s="85" t="s">
        <v>196</v>
      </c>
      <c r="B21" s="36">
        <v>-3</v>
      </c>
      <c r="C21" s="36">
        <v>19</v>
      </c>
      <c r="D21" s="36">
        <v>7</v>
      </c>
      <c r="E21" s="36">
        <v>-21</v>
      </c>
      <c r="F21" s="36"/>
      <c r="G21" s="36">
        <v>-8</v>
      </c>
      <c r="H21" s="36">
        <v>15</v>
      </c>
      <c r="I21" s="36">
        <v>-16</v>
      </c>
      <c r="J21" s="36">
        <v>-6</v>
      </c>
      <c r="K21" s="36">
        <v>5</v>
      </c>
      <c r="L21" s="36">
        <v>9</v>
      </c>
      <c r="M21" s="36">
        <v>-24</v>
      </c>
      <c r="N21" s="36">
        <v>15</v>
      </c>
      <c r="O21" s="36">
        <v>30</v>
      </c>
      <c r="P21" s="36">
        <v>3</v>
      </c>
      <c r="Q21" s="36">
        <v>-1</v>
      </c>
      <c r="R21" s="36">
        <v>36</v>
      </c>
      <c r="S21" s="36">
        <v>15</v>
      </c>
      <c r="T21" s="36">
        <v>11</v>
      </c>
      <c r="U21" s="36">
        <f>'Annual Cash Flow Reported'!K21-T21-S21-R21</f>
        <v>13</v>
      </c>
      <c r="V21" s="36">
        <v>31</v>
      </c>
      <c r="W21" s="36">
        <v>6</v>
      </c>
      <c r="X21" s="36">
        <v>4</v>
      </c>
      <c r="Y21" s="336">
        <f>'Annual Cash Flow Reported'!L21-SUM('Interim Cash Flow Reported'!V21:X21)</f>
        <v>-6</v>
      </c>
      <c r="Z21" s="336">
        <v>6</v>
      </c>
      <c r="AA21" s="336">
        <v>-11</v>
      </c>
      <c r="AB21" s="336">
        <v>20</v>
      </c>
    </row>
    <row r="22" spans="1:28" x14ac:dyDescent="0.3">
      <c r="A22" s="14" t="s">
        <v>197</v>
      </c>
      <c r="B22" s="22">
        <f>SUM(B14:B21)</f>
        <v>-578</v>
      </c>
      <c r="C22" s="22">
        <f t="shared" ref="C22:O22" si="8">SUM(C14:C21)</f>
        <v>-321</v>
      </c>
      <c r="D22" s="22">
        <f t="shared" si="8"/>
        <v>-779</v>
      </c>
      <c r="E22" s="22">
        <f t="shared" si="8"/>
        <v>-510</v>
      </c>
      <c r="F22" s="22">
        <f t="shared" si="8"/>
        <v>-936</v>
      </c>
      <c r="G22" s="22">
        <f t="shared" si="8"/>
        <v>-1539</v>
      </c>
      <c r="H22" s="22">
        <f t="shared" si="8"/>
        <v>-197</v>
      </c>
      <c r="I22" s="22">
        <f t="shared" si="8"/>
        <v>-5</v>
      </c>
      <c r="J22" s="22">
        <f t="shared" si="8"/>
        <v>-1093</v>
      </c>
      <c r="K22" s="22">
        <f t="shared" si="8"/>
        <v>-1302</v>
      </c>
      <c r="L22" s="22">
        <f t="shared" si="8"/>
        <v>-415</v>
      </c>
      <c r="M22" s="22">
        <f t="shared" si="8"/>
        <v>-621</v>
      </c>
      <c r="N22" s="22">
        <f t="shared" si="8"/>
        <v>-1023</v>
      </c>
      <c r="O22" s="22">
        <f t="shared" si="8"/>
        <v>-1335</v>
      </c>
      <c r="P22" s="22">
        <f t="shared" ref="P22:T22" si="9">SUM(P14:P21)</f>
        <v>-446</v>
      </c>
      <c r="Q22" s="22">
        <f t="shared" si="9"/>
        <v>-183</v>
      </c>
      <c r="R22" s="22">
        <f t="shared" si="9"/>
        <v>-1856</v>
      </c>
      <c r="S22" s="22">
        <f t="shared" si="9"/>
        <v>-696</v>
      </c>
      <c r="T22" s="22">
        <f t="shared" si="9"/>
        <v>-93</v>
      </c>
      <c r="U22" s="22">
        <f t="shared" ref="U22:Y22" si="10">SUM(U14:U21)</f>
        <v>-150</v>
      </c>
      <c r="V22" s="22">
        <f t="shared" si="10"/>
        <v>68</v>
      </c>
      <c r="W22" s="22">
        <f t="shared" si="10"/>
        <v>-316</v>
      </c>
      <c r="X22" s="22">
        <f t="shared" si="10"/>
        <v>-644</v>
      </c>
      <c r="Y22" s="22">
        <f t="shared" si="10"/>
        <v>-326</v>
      </c>
      <c r="Z22" s="22">
        <f t="shared" ref="Z22:AB22" si="11">SUM(Z14:Z21)</f>
        <v>725</v>
      </c>
      <c r="AA22" s="22">
        <f t="shared" si="11"/>
        <v>85</v>
      </c>
      <c r="AB22" s="22">
        <f t="shared" si="11"/>
        <v>-1423</v>
      </c>
    </row>
    <row r="23" spans="1:28" x14ac:dyDescent="0.3">
      <c r="A23" s="85" t="s">
        <v>198</v>
      </c>
      <c r="B23" s="32">
        <v>1</v>
      </c>
      <c r="C23" s="32">
        <v>2</v>
      </c>
      <c r="D23" s="32"/>
      <c r="E23" s="32">
        <v>1</v>
      </c>
      <c r="F23" s="32"/>
      <c r="G23" s="32"/>
      <c r="H23" s="32">
        <v>1</v>
      </c>
      <c r="I23" s="32">
        <v>1</v>
      </c>
      <c r="J23" s="32">
        <v>1</v>
      </c>
      <c r="K23" s="32">
        <v>2</v>
      </c>
      <c r="L23" s="32">
        <v>4</v>
      </c>
      <c r="M23" s="32">
        <v>2</v>
      </c>
      <c r="N23" s="32">
        <v>1</v>
      </c>
      <c r="O23" s="32">
        <v>1</v>
      </c>
      <c r="P23" s="32">
        <v>3</v>
      </c>
      <c r="Q23" s="32">
        <v>0</v>
      </c>
      <c r="R23" s="32">
        <v>1</v>
      </c>
      <c r="S23" s="32">
        <v>2</v>
      </c>
      <c r="T23" s="32">
        <f>5-S23-R23</f>
        <v>2</v>
      </c>
      <c r="U23" s="32">
        <f>'Annual Cash Flow Reported'!K23-T23-S23-R23</f>
        <v>4</v>
      </c>
      <c r="V23" s="32">
        <v>1</v>
      </c>
      <c r="W23" s="32">
        <f>553</f>
        <v>553</v>
      </c>
      <c r="X23" s="32"/>
      <c r="Y23" s="335">
        <f>'Annual Cash Flow Reported'!L23-SUM('Interim Cash Flow Reported'!V23:X23)</f>
        <v>815</v>
      </c>
      <c r="Z23" s="335">
        <v>74</v>
      </c>
      <c r="AA23" s="335">
        <v>480</v>
      </c>
      <c r="AB23" s="335"/>
    </row>
    <row r="24" spans="1:28" x14ac:dyDescent="0.3">
      <c r="A24" s="85" t="s">
        <v>199</v>
      </c>
      <c r="B24" s="32"/>
      <c r="C24" s="32">
        <v>-1</v>
      </c>
      <c r="D24" s="32">
        <v>-41</v>
      </c>
      <c r="E24" s="32">
        <v>-21</v>
      </c>
      <c r="F24" s="32">
        <v>-34</v>
      </c>
      <c r="G24" s="32">
        <v>-24</v>
      </c>
      <c r="H24" s="32">
        <v>-31</v>
      </c>
      <c r="I24" s="32">
        <v>-5</v>
      </c>
      <c r="J24" s="32">
        <v>-33</v>
      </c>
      <c r="K24" s="32">
        <v>-3</v>
      </c>
      <c r="L24" s="32"/>
      <c r="M24" s="32">
        <v>-35</v>
      </c>
      <c r="N24" s="32">
        <v>-1</v>
      </c>
      <c r="O24" s="32">
        <v>-22</v>
      </c>
      <c r="P24" s="32"/>
      <c r="Q24" s="32">
        <v>-50</v>
      </c>
      <c r="R24" s="32">
        <v>-51</v>
      </c>
      <c r="S24" s="32">
        <v>-103</v>
      </c>
      <c r="T24" s="32">
        <v>-94</v>
      </c>
      <c r="U24" s="32">
        <f>'Annual Cash Flow Reported'!K24-T24-S24-R24</f>
        <v>-125</v>
      </c>
      <c r="V24" s="32">
        <f>-132</f>
        <v>-132</v>
      </c>
      <c r="W24" s="32"/>
      <c r="X24" s="32"/>
      <c r="Y24" s="335">
        <f>'Annual Cash Flow Reported'!L24-SUM('Interim Cash Flow Reported'!V24:X24)</f>
        <v>0</v>
      </c>
      <c r="Z24" s="335"/>
      <c r="AA24" s="335"/>
      <c r="AB24" s="335"/>
    </row>
    <row r="25" spans="1:28" x14ac:dyDescent="0.3">
      <c r="A25" s="85" t="s">
        <v>200</v>
      </c>
      <c r="B25" s="32">
        <v>282</v>
      </c>
      <c r="C25" s="32">
        <v>7</v>
      </c>
      <c r="D25" s="32">
        <v>302</v>
      </c>
      <c r="E25" s="32">
        <v>314</v>
      </c>
      <c r="F25" s="32">
        <v>616</v>
      </c>
      <c r="G25" s="32">
        <v>692</v>
      </c>
      <c r="H25" s="32">
        <v>0</v>
      </c>
      <c r="I25" s="32">
        <v>1230</v>
      </c>
      <c r="J25" s="32">
        <v>371</v>
      </c>
      <c r="K25" s="32">
        <v>371</v>
      </c>
      <c r="L25" s="32"/>
      <c r="M25" s="32">
        <v>-9</v>
      </c>
      <c r="N25" s="32">
        <v>689</v>
      </c>
      <c r="O25" s="32">
        <v>521</v>
      </c>
      <c r="P25" s="32"/>
      <c r="Q25" s="32"/>
      <c r="R25" s="32"/>
      <c r="S25" s="32"/>
      <c r="T25" s="32"/>
      <c r="U25" s="32">
        <f>'Annual Cash Flow Reported'!K25-T25-S25-R25</f>
        <v>0</v>
      </c>
      <c r="V25" s="32">
        <f>1027</f>
        <v>1027</v>
      </c>
      <c r="W25" s="32">
        <f>3867</f>
        <v>3867</v>
      </c>
      <c r="X25" s="32">
        <v>1114</v>
      </c>
      <c r="Y25" s="335">
        <f>'Annual Cash Flow Reported'!L25-SUM('Interim Cash Flow Reported'!V25:X25)</f>
        <v>176</v>
      </c>
      <c r="Z25" s="335">
        <v>128</v>
      </c>
      <c r="AA25" s="335">
        <v>1139</v>
      </c>
      <c r="AB25" s="335">
        <v>6760</v>
      </c>
    </row>
    <row r="26" spans="1:28" x14ac:dyDescent="0.3">
      <c r="A26" s="85" t="s">
        <v>201</v>
      </c>
      <c r="B26" s="32"/>
      <c r="C26" s="32"/>
      <c r="D26" s="32"/>
      <c r="E26" s="32"/>
      <c r="F26" s="32">
        <v>0</v>
      </c>
      <c r="G26" s="32">
        <v>351</v>
      </c>
      <c r="H26" s="32"/>
      <c r="I26" s="32">
        <v>0</v>
      </c>
      <c r="J26" s="32">
        <v>369</v>
      </c>
      <c r="K26" s="32">
        <v>362</v>
      </c>
      <c r="L26" s="32"/>
      <c r="M26" s="32">
        <v>9</v>
      </c>
      <c r="N26" s="32"/>
      <c r="O26" s="32"/>
      <c r="P26" s="32">
        <v>293</v>
      </c>
      <c r="Q26" s="32">
        <v>0</v>
      </c>
      <c r="R26" s="32"/>
      <c r="S26" s="32"/>
      <c r="T26" s="32"/>
      <c r="U26" s="32">
        <f>'Annual Cash Flow Reported'!K26-T26-S26-R26</f>
        <v>0</v>
      </c>
      <c r="V26" s="32"/>
      <c r="W26" s="32"/>
      <c r="X26" s="32"/>
      <c r="Y26" s="335">
        <f>'Annual Cash Flow Reported'!L26-SUM('Interim Cash Flow Reported'!V26:X26)</f>
        <v>485</v>
      </c>
      <c r="Z26" s="335">
        <v>6</v>
      </c>
      <c r="AA26" s="335">
        <v>5</v>
      </c>
      <c r="AB26" s="335"/>
    </row>
    <row r="27" spans="1:28" x14ac:dyDescent="0.3">
      <c r="A27" s="85" t="s">
        <v>202</v>
      </c>
      <c r="B27" s="32">
        <v>-115</v>
      </c>
      <c r="C27" s="32">
        <v>-147</v>
      </c>
      <c r="D27" s="32">
        <v>-124</v>
      </c>
      <c r="E27" s="32">
        <v>-321</v>
      </c>
      <c r="F27" s="32">
        <v>-230</v>
      </c>
      <c r="G27" s="32">
        <v>-157</v>
      </c>
      <c r="H27" s="32">
        <v>-80</v>
      </c>
      <c r="I27" s="32">
        <v>-1808</v>
      </c>
      <c r="J27" s="32">
        <v>-152</v>
      </c>
      <c r="K27" s="32">
        <v>-219</v>
      </c>
      <c r="L27" s="32">
        <v>-203</v>
      </c>
      <c r="M27" s="32">
        <v>-240</v>
      </c>
      <c r="N27" s="32">
        <v>-226</v>
      </c>
      <c r="O27" s="32">
        <v>-358</v>
      </c>
      <c r="P27" s="32">
        <v>-225</v>
      </c>
      <c r="Q27" s="32">
        <v>-361</v>
      </c>
      <c r="R27" s="32">
        <f>-252</f>
        <v>-252</v>
      </c>
      <c r="S27" s="32">
        <v>-280</v>
      </c>
      <c r="T27" s="32">
        <v>-276</v>
      </c>
      <c r="U27" s="32">
        <f>'Annual Cash Flow Reported'!K27-T27-S27-R27</f>
        <v>-276</v>
      </c>
      <c r="V27" s="32">
        <f>-509</f>
        <v>-509</v>
      </c>
      <c r="W27" s="32">
        <f>-269</f>
        <v>-269</v>
      </c>
      <c r="X27" s="32">
        <v>-1433</v>
      </c>
      <c r="Y27" s="335">
        <f>'Annual Cash Flow Reported'!L27-SUM('Interim Cash Flow Reported'!V27:X27)</f>
        <v>-508</v>
      </c>
      <c r="Z27" s="335">
        <v>-404</v>
      </c>
      <c r="AA27" s="335">
        <v>-877</v>
      </c>
      <c r="AB27" s="335">
        <v>-2953</v>
      </c>
    </row>
    <row r="28" spans="1:28" x14ac:dyDescent="0.3">
      <c r="A28" s="85" t="s">
        <v>411</v>
      </c>
      <c r="B28" s="32">
        <v>-35</v>
      </c>
      <c r="C28" s="32"/>
      <c r="D28" s="32"/>
      <c r="E28" s="32">
        <v>35</v>
      </c>
      <c r="F28" s="32"/>
      <c r="G28" s="32"/>
      <c r="H28" s="32"/>
      <c r="I28" s="32"/>
      <c r="J28" s="32"/>
      <c r="K28" s="32"/>
      <c r="L28" s="32"/>
      <c r="M28" s="32"/>
      <c r="N28" s="32"/>
      <c r="O28" s="32"/>
      <c r="P28" s="32"/>
      <c r="Q28" s="32"/>
      <c r="R28" s="32"/>
      <c r="S28" s="32"/>
      <c r="T28" s="32"/>
      <c r="U28" s="32">
        <f>'Annual Cash Flow Reported'!K28-T28-S28-R28</f>
        <v>0</v>
      </c>
      <c r="V28" s="32"/>
      <c r="W28" s="32"/>
      <c r="X28" s="32">
        <v>-121</v>
      </c>
      <c r="Y28" s="335">
        <f>'Annual Cash Flow Reported'!L28-SUM('Interim Cash Flow Reported'!V28:X28)</f>
        <v>121</v>
      </c>
      <c r="Z28" s="335">
        <f>-133+32</f>
        <v>-101</v>
      </c>
      <c r="AA28" s="335">
        <v>-150</v>
      </c>
      <c r="AB28" s="335">
        <v>-136</v>
      </c>
    </row>
    <row r="29" spans="1:28" x14ac:dyDescent="0.3">
      <c r="A29" s="85" t="s">
        <v>203</v>
      </c>
      <c r="B29" s="32"/>
      <c r="C29" s="32"/>
      <c r="D29" s="32"/>
      <c r="E29" s="32"/>
      <c r="F29" s="32"/>
      <c r="G29" s="32"/>
      <c r="H29" s="32"/>
      <c r="I29" s="32"/>
      <c r="J29" s="32"/>
      <c r="K29" s="32"/>
      <c r="L29" s="32"/>
      <c r="M29" s="32"/>
      <c r="N29" s="32"/>
      <c r="O29" s="32"/>
      <c r="P29" s="32"/>
      <c r="Q29" s="32"/>
      <c r="R29" s="32"/>
      <c r="S29" s="32"/>
      <c r="T29" s="32"/>
      <c r="U29" s="32">
        <f>'Annual Cash Flow Reported'!K29-T29-S29-R29</f>
        <v>0</v>
      </c>
      <c r="V29" s="32"/>
      <c r="W29" s="32"/>
      <c r="X29" s="32"/>
      <c r="Y29" s="335">
        <f>'Annual Cash Flow Reported'!L29-SUM('Interim Cash Flow Reported'!V29:X29)</f>
        <v>0</v>
      </c>
      <c r="Z29" s="335"/>
      <c r="AA29" s="335"/>
      <c r="AB29" s="335"/>
    </row>
    <row r="30" spans="1:28" x14ac:dyDescent="0.3">
      <c r="A30" s="85" t="s">
        <v>204</v>
      </c>
      <c r="B30" s="32"/>
      <c r="C30" s="32"/>
      <c r="D30" s="32"/>
      <c r="E30" s="32"/>
      <c r="F30" s="32"/>
      <c r="G30" s="32"/>
      <c r="H30" s="32"/>
      <c r="I30" s="32"/>
      <c r="J30" s="32"/>
      <c r="K30" s="32"/>
      <c r="L30" s="32"/>
      <c r="M30" s="32"/>
      <c r="N30" s="32"/>
      <c r="O30" s="32"/>
      <c r="P30" s="32"/>
      <c r="Q30" s="32"/>
      <c r="R30" s="32"/>
      <c r="S30" s="32"/>
      <c r="T30" s="32"/>
      <c r="U30" s="32">
        <f>'Annual Cash Flow Reported'!K30-T30-S30-R30</f>
        <v>0</v>
      </c>
      <c r="V30" s="32"/>
      <c r="W30" s="32"/>
      <c r="X30" s="32"/>
      <c r="Y30" s="335">
        <f>'Annual Cash Flow Reported'!L30-SUM('Interim Cash Flow Reported'!V30:X30)</f>
        <v>0</v>
      </c>
      <c r="Z30" s="335"/>
      <c r="AA30" s="335"/>
      <c r="AB30" s="335"/>
    </row>
    <row r="31" spans="1:28" x14ac:dyDescent="0.3">
      <c r="A31" s="85" t="s">
        <v>205</v>
      </c>
      <c r="B31" s="32">
        <v>-9</v>
      </c>
      <c r="C31" s="32"/>
      <c r="D31" s="32"/>
      <c r="E31" s="32">
        <v>9</v>
      </c>
      <c r="F31" s="32"/>
      <c r="G31" s="32"/>
      <c r="H31" s="32"/>
      <c r="I31" s="32"/>
      <c r="J31" s="32"/>
      <c r="K31" s="32"/>
      <c r="L31" s="32"/>
      <c r="M31" s="32"/>
      <c r="N31" s="32"/>
      <c r="O31" s="32"/>
      <c r="P31" s="32"/>
      <c r="Q31" s="32"/>
      <c r="R31" s="32"/>
      <c r="S31" s="32"/>
      <c r="T31" s="32"/>
      <c r="U31" s="32">
        <f>'Annual Cash Flow Reported'!K31-T31-S31-R31</f>
        <v>0</v>
      </c>
      <c r="V31" s="32"/>
      <c r="W31" s="32"/>
      <c r="X31" s="32"/>
      <c r="Y31" s="335">
        <f>'Annual Cash Flow Reported'!L31-SUM('Interim Cash Flow Reported'!V31:X31)</f>
        <v>0</v>
      </c>
      <c r="Z31" s="335"/>
      <c r="AA31" s="335"/>
      <c r="AB31" s="335"/>
    </row>
    <row r="32" spans="1:28" x14ac:dyDescent="0.3">
      <c r="A32" s="85" t="s">
        <v>206</v>
      </c>
      <c r="B32" s="32"/>
      <c r="C32" s="32"/>
      <c r="D32" s="32"/>
      <c r="E32" s="32"/>
      <c r="F32" s="32"/>
      <c r="G32" s="32"/>
      <c r="H32" s="32"/>
      <c r="I32" s="32"/>
      <c r="J32" s="32"/>
      <c r="K32" s="32"/>
      <c r="L32" s="32"/>
      <c r="M32" s="32"/>
      <c r="N32" s="32"/>
      <c r="O32" s="32"/>
      <c r="P32" s="32"/>
      <c r="Q32" s="32"/>
      <c r="R32" s="32"/>
      <c r="S32" s="32"/>
      <c r="T32" s="32"/>
      <c r="U32" s="32">
        <f>'Annual Cash Flow Reported'!K32-T32-S32-R32</f>
        <v>0</v>
      </c>
      <c r="V32" s="32"/>
      <c r="W32" s="32"/>
      <c r="X32" s="32"/>
      <c r="Y32" s="335">
        <f>'Annual Cash Flow Reported'!L32-SUM('Interim Cash Flow Reported'!V32:X32)</f>
        <v>0</v>
      </c>
      <c r="Z32" s="335"/>
      <c r="AA32" s="335"/>
      <c r="AB32" s="335"/>
    </row>
    <row r="33" spans="1:28" x14ac:dyDescent="0.3">
      <c r="A33" s="85" t="s">
        <v>207</v>
      </c>
      <c r="B33" s="36">
        <v>-15</v>
      </c>
      <c r="C33" s="36">
        <v>-7</v>
      </c>
      <c r="D33" s="36">
        <v>-1</v>
      </c>
      <c r="E33" s="36">
        <v>-60</v>
      </c>
      <c r="F33" s="36">
        <f>-1-32</f>
        <v>-33</v>
      </c>
      <c r="G33" s="36">
        <v>-1</v>
      </c>
      <c r="H33" s="36"/>
      <c r="I33" s="36"/>
      <c r="J33" s="36">
        <v>-3</v>
      </c>
      <c r="K33" s="36">
        <v>-9</v>
      </c>
      <c r="L33" s="36">
        <v>-3</v>
      </c>
      <c r="M33" s="36">
        <v>-11</v>
      </c>
      <c r="N33" s="36">
        <v>-4</v>
      </c>
      <c r="O33" s="36">
        <v>-4</v>
      </c>
      <c r="P33" s="36"/>
      <c r="Q33" s="36">
        <v>-4</v>
      </c>
      <c r="R33" s="36"/>
      <c r="S33" s="36"/>
      <c r="T33" s="36"/>
      <c r="U33" s="36">
        <f>'Annual Cash Flow Reported'!K33-T33-S33-R33</f>
        <v>-1</v>
      </c>
      <c r="V33" s="36"/>
      <c r="W33" s="36">
        <f>-62</f>
        <v>-62</v>
      </c>
      <c r="X33" s="36">
        <f>-13+121</f>
        <v>108</v>
      </c>
      <c r="Y33" s="336">
        <f>'Annual Cash Flow Reported'!L33-SUM('Interim Cash Flow Reported'!V33:X33)</f>
        <v>-46</v>
      </c>
      <c r="Z33" s="336">
        <v>-3</v>
      </c>
      <c r="AA33" s="336">
        <v>-4</v>
      </c>
      <c r="AB33" s="336">
        <v>-196</v>
      </c>
    </row>
    <row r="34" spans="1:28" x14ac:dyDescent="0.3">
      <c r="A34" s="14" t="s">
        <v>208</v>
      </c>
      <c r="B34" s="22">
        <f>SUM(B23:B33)</f>
        <v>109</v>
      </c>
      <c r="C34" s="22">
        <f t="shared" ref="C34:O34" si="12">SUM(C23:C33)</f>
        <v>-146</v>
      </c>
      <c r="D34" s="22">
        <f t="shared" si="12"/>
        <v>136</v>
      </c>
      <c r="E34" s="22">
        <f t="shared" si="12"/>
        <v>-43</v>
      </c>
      <c r="F34" s="22">
        <f t="shared" si="12"/>
        <v>319</v>
      </c>
      <c r="G34" s="22">
        <f t="shared" si="12"/>
        <v>861</v>
      </c>
      <c r="H34" s="22">
        <f t="shared" si="12"/>
        <v>-110</v>
      </c>
      <c r="I34" s="22">
        <f t="shared" si="12"/>
        <v>-582</v>
      </c>
      <c r="J34" s="22">
        <f t="shared" si="12"/>
        <v>553</v>
      </c>
      <c r="K34" s="22">
        <f t="shared" si="12"/>
        <v>504</v>
      </c>
      <c r="L34" s="22">
        <f t="shared" si="12"/>
        <v>-202</v>
      </c>
      <c r="M34" s="22">
        <f t="shared" si="12"/>
        <v>-284</v>
      </c>
      <c r="N34" s="22">
        <f t="shared" si="12"/>
        <v>459</v>
      </c>
      <c r="O34" s="22">
        <f t="shared" si="12"/>
        <v>138</v>
      </c>
      <c r="P34" s="22">
        <f t="shared" ref="P34:T34" si="13">SUM(P23:P33)</f>
        <v>71</v>
      </c>
      <c r="Q34" s="22">
        <f t="shared" si="13"/>
        <v>-415</v>
      </c>
      <c r="R34" s="22">
        <f t="shared" si="13"/>
        <v>-302</v>
      </c>
      <c r="S34" s="22">
        <f t="shared" si="13"/>
        <v>-381</v>
      </c>
      <c r="T34" s="22">
        <f t="shared" si="13"/>
        <v>-368</v>
      </c>
      <c r="U34" s="22">
        <f t="shared" ref="U34:Y34" si="14">SUM(U23:U33)</f>
        <v>-398</v>
      </c>
      <c r="V34" s="22">
        <f t="shared" si="14"/>
        <v>387</v>
      </c>
      <c r="W34" s="22">
        <f t="shared" si="14"/>
        <v>4089</v>
      </c>
      <c r="X34" s="22">
        <f t="shared" si="14"/>
        <v>-332</v>
      </c>
      <c r="Y34" s="22">
        <f t="shared" si="14"/>
        <v>1043</v>
      </c>
      <c r="Z34" s="22">
        <f t="shared" ref="Z34:AB34" si="15">SUM(Z23:Z33)</f>
        <v>-300</v>
      </c>
      <c r="AA34" s="22">
        <f t="shared" si="15"/>
        <v>593</v>
      </c>
      <c r="AB34" s="22">
        <f t="shared" si="15"/>
        <v>3475</v>
      </c>
    </row>
    <row r="35" spans="1:28" ht="15" thickBot="1" x14ac:dyDescent="0.35">
      <c r="A35" s="14" t="s">
        <v>209</v>
      </c>
      <c r="B35" s="24">
        <f>B13+B22+B34</f>
        <v>374</v>
      </c>
      <c r="C35" s="24">
        <f t="shared" ref="C35:G35" si="16">C13+C22+C34</f>
        <v>45</v>
      </c>
      <c r="D35" s="24">
        <f t="shared" si="16"/>
        <v>-191</v>
      </c>
      <c r="E35" s="24">
        <f t="shared" si="16"/>
        <v>-568</v>
      </c>
      <c r="F35" s="24">
        <f t="shared" si="16"/>
        <v>-335</v>
      </c>
      <c r="G35" s="24">
        <f t="shared" si="16"/>
        <v>-21</v>
      </c>
      <c r="H35" s="24">
        <f>H13+H22+H34</f>
        <v>131</v>
      </c>
      <c r="I35" s="24">
        <f t="shared" ref="I35:O35" si="17">I13+I22+I34</f>
        <v>115</v>
      </c>
      <c r="J35" s="24">
        <f t="shared" si="17"/>
        <v>487</v>
      </c>
      <c r="K35" s="24">
        <f t="shared" si="17"/>
        <v>31</v>
      </c>
      <c r="L35" s="24">
        <f t="shared" si="17"/>
        <v>-124</v>
      </c>
      <c r="M35" s="24">
        <f t="shared" si="17"/>
        <v>-516</v>
      </c>
      <c r="N35" s="24">
        <f t="shared" si="17"/>
        <v>547</v>
      </c>
      <c r="O35" s="24">
        <f t="shared" si="17"/>
        <v>-344</v>
      </c>
      <c r="P35" s="24">
        <f t="shared" ref="P35:T35" si="18">P13+P22+P34</f>
        <v>-4</v>
      </c>
      <c r="Q35" s="24">
        <f t="shared" si="18"/>
        <v>-238</v>
      </c>
      <c r="R35" s="24">
        <f t="shared" si="18"/>
        <v>953</v>
      </c>
      <c r="S35" s="24">
        <f t="shared" si="18"/>
        <v>13</v>
      </c>
      <c r="T35" s="24">
        <f t="shared" si="18"/>
        <v>373</v>
      </c>
      <c r="U35" s="24">
        <f t="shared" ref="U35:Y35" si="19">U13+U22+U34</f>
        <v>129</v>
      </c>
      <c r="V35" s="24">
        <f t="shared" si="19"/>
        <v>435</v>
      </c>
      <c r="W35" s="24">
        <f t="shared" si="19"/>
        <v>2522</v>
      </c>
      <c r="X35" s="24">
        <f t="shared" si="19"/>
        <v>-1262</v>
      </c>
      <c r="Y35" s="24">
        <f t="shared" si="19"/>
        <v>-79</v>
      </c>
      <c r="Z35" s="24">
        <f t="shared" ref="Z35:AB35" si="20">Z13+Z22+Z34</f>
        <v>-362</v>
      </c>
      <c r="AA35" s="24">
        <f t="shared" si="20"/>
        <v>-549</v>
      </c>
      <c r="AB35" s="24">
        <f t="shared" si="20"/>
        <v>2457</v>
      </c>
    </row>
    <row r="36" spans="1:28" ht="15" thickTop="1" x14ac:dyDescent="0.3">
      <c r="A36" s="85" t="s">
        <v>210</v>
      </c>
      <c r="B36" s="32"/>
      <c r="C36" s="32">
        <v>-3</v>
      </c>
      <c r="D36" s="32">
        <v>24</v>
      </c>
      <c r="E36" s="32">
        <v>-3</v>
      </c>
      <c r="F36" s="32">
        <v>-21</v>
      </c>
      <c r="G36" s="32">
        <v>-5</v>
      </c>
      <c r="H36" s="32">
        <v>4</v>
      </c>
      <c r="I36" s="32">
        <v>5</v>
      </c>
      <c r="J36" s="32">
        <v>-4</v>
      </c>
      <c r="K36" s="32">
        <v>-2</v>
      </c>
      <c r="L36" s="32">
        <v>-29</v>
      </c>
      <c r="M36" s="32">
        <v>12</v>
      </c>
      <c r="N36" s="32">
        <v>8</v>
      </c>
      <c r="O36" s="32">
        <v>3</v>
      </c>
      <c r="P36" s="32">
        <v>0</v>
      </c>
      <c r="Q36" s="32">
        <f>'Annual Cash Flow Reported'!J36-SUM('Interim Cash Flow Reported'!N36:P36)</f>
        <v>16</v>
      </c>
      <c r="R36" s="32">
        <v>-1</v>
      </c>
      <c r="S36" s="32">
        <v>-4</v>
      </c>
      <c r="T36" s="32">
        <v>-6</v>
      </c>
      <c r="U36" s="32">
        <f>'Annual Cash Flow Reported'!K36-T36-S36-R36</f>
        <v>3</v>
      </c>
      <c r="V36" s="32">
        <v>63</v>
      </c>
      <c r="W36" s="32">
        <v>-21</v>
      </c>
      <c r="X36" s="32">
        <v>-37</v>
      </c>
      <c r="Y36" s="335">
        <f>'Annual Cash Flow Reported'!L36-SUM('Interim Cash Flow Reported'!V36:X36)</f>
        <v>-53</v>
      </c>
      <c r="Z36" s="335">
        <v>-18</v>
      </c>
      <c r="AA36" s="335">
        <v>-19</v>
      </c>
      <c r="AB36" s="335">
        <v>53</v>
      </c>
    </row>
    <row r="37" spans="1:28" x14ac:dyDescent="0.3">
      <c r="A37" s="14" t="s">
        <v>211</v>
      </c>
      <c r="B37" s="38"/>
      <c r="C37" s="38"/>
      <c r="D37" s="38"/>
      <c r="E37" s="38"/>
      <c r="F37" s="38"/>
      <c r="G37" s="38"/>
      <c r="H37" s="38"/>
      <c r="I37" s="38"/>
      <c r="J37" s="38"/>
      <c r="K37" s="38"/>
      <c r="L37" s="38"/>
      <c r="M37" s="38"/>
      <c r="N37" s="38"/>
      <c r="O37" s="38"/>
      <c r="P37" s="38"/>
      <c r="Q37" s="38"/>
      <c r="R37" s="38">
        <v>630</v>
      </c>
      <c r="S37" s="38">
        <f>R38</f>
        <v>1582</v>
      </c>
      <c r="T37" s="38">
        <f>S38</f>
        <v>1591</v>
      </c>
      <c r="U37" s="38">
        <f>T38</f>
        <v>1958</v>
      </c>
      <c r="V37" s="38">
        <v>2090</v>
      </c>
      <c r="W37" s="38">
        <f>V38</f>
        <v>2588</v>
      </c>
      <c r="X37" s="38">
        <f>W38</f>
        <v>5089</v>
      </c>
      <c r="Y37" s="38">
        <f>X38</f>
        <v>3790</v>
      </c>
      <c r="Z37" s="38">
        <f>Y38</f>
        <v>3658</v>
      </c>
      <c r="AA37" s="38">
        <f t="shared" ref="AA37:AB37" si="21">Z38</f>
        <v>3278</v>
      </c>
      <c r="AB37" s="38">
        <f t="shared" si="21"/>
        <v>2710</v>
      </c>
    </row>
    <row r="38" spans="1:28" x14ac:dyDescent="0.3">
      <c r="A38" s="14" t="s">
        <v>212</v>
      </c>
      <c r="B38" s="22">
        <f t="shared" ref="B38:K38" si="22">B35+B36+B37</f>
        <v>374</v>
      </c>
      <c r="C38" s="22">
        <f t="shared" si="22"/>
        <v>42</v>
      </c>
      <c r="D38" s="22">
        <f t="shared" si="22"/>
        <v>-167</v>
      </c>
      <c r="E38" s="22">
        <f t="shared" si="22"/>
        <v>-571</v>
      </c>
      <c r="F38" s="22">
        <f t="shared" si="22"/>
        <v>-356</v>
      </c>
      <c r="G38" s="22">
        <f t="shared" si="22"/>
        <v>-26</v>
      </c>
      <c r="H38" s="22">
        <f t="shared" si="22"/>
        <v>135</v>
      </c>
      <c r="I38" s="22">
        <f t="shared" si="22"/>
        <v>120</v>
      </c>
      <c r="J38" s="22">
        <f t="shared" si="22"/>
        <v>483</v>
      </c>
      <c r="K38" s="22">
        <f t="shared" si="22"/>
        <v>29</v>
      </c>
      <c r="L38" s="22">
        <f t="shared" ref="L38:O38" si="23">L35+L36+L37</f>
        <v>-153</v>
      </c>
      <c r="M38" s="22">
        <f t="shared" si="23"/>
        <v>-504</v>
      </c>
      <c r="N38" s="22">
        <f t="shared" si="23"/>
        <v>555</v>
      </c>
      <c r="O38" s="22">
        <f t="shared" si="23"/>
        <v>-341</v>
      </c>
      <c r="P38" s="22">
        <f t="shared" ref="P38:T38" si="24">P35+P36+P37</f>
        <v>-4</v>
      </c>
      <c r="Q38" s="22">
        <f t="shared" si="24"/>
        <v>-222</v>
      </c>
      <c r="R38" s="22">
        <f t="shared" si="24"/>
        <v>1582</v>
      </c>
      <c r="S38" s="22">
        <f t="shared" si="24"/>
        <v>1591</v>
      </c>
      <c r="T38" s="22">
        <f t="shared" si="24"/>
        <v>1958</v>
      </c>
      <c r="U38" s="22">
        <f t="shared" ref="U38:Y38" si="25">U35+U36+U37</f>
        <v>2090</v>
      </c>
      <c r="V38" s="22">
        <f t="shared" si="25"/>
        <v>2588</v>
      </c>
      <c r="W38" s="22">
        <f t="shared" si="25"/>
        <v>5089</v>
      </c>
      <c r="X38" s="22">
        <f t="shared" si="25"/>
        <v>3790</v>
      </c>
      <c r="Y38" s="22">
        <f t="shared" si="25"/>
        <v>3658</v>
      </c>
      <c r="Z38" s="22">
        <f t="shared" ref="Z38:AB38" si="26">Z35+Z36+Z37</f>
        <v>3278</v>
      </c>
      <c r="AA38" s="22">
        <f t="shared" si="26"/>
        <v>2710</v>
      </c>
      <c r="AB38" s="22">
        <f t="shared" si="26"/>
        <v>5220</v>
      </c>
    </row>
    <row r="39" spans="1:28" x14ac:dyDescent="0.3">
      <c r="A39" s="8" t="s">
        <v>213</v>
      </c>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row>
    <row r="40" spans="1:28" x14ac:dyDescent="0.3">
      <c r="A40" s="85" t="s">
        <v>291</v>
      </c>
      <c r="B40" s="21">
        <f t="shared" ref="B40:H40" si="27">B13+B14+B15</f>
        <v>419</v>
      </c>
      <c r="C40" s="21">
        <f t="shared" si="27"/>
        <v>311</v>
      </c>
      <c r="D40" s="21">
        <f t="shared" si="27"/>
        <v>-107</v>
      </c>
      <c r="E40" s="21">
        <f t="shared" si="27"/>
        <v>-623</v>
      </c>
      <c r="F40" s="21">
        <f t="shared" si="27"/>
        <v>-690</v>
      </c>
      <c r="G40" s="21">
        <f t="shared" si="27"/>
        <v>-645</v>
      </c>
      <c r="H40" s="21">
        <f t="shared" si="27"/>
        <v>370</v>
      </c>
      <c r="I40" s="21"/>
      <c r="J40" s="21">
        <f>J13+J14+J15</f>
        <v>102</v>
      </c>
      <c r="K40" s="21">
        <f>K13+K14+K15</f>
        <v>-65</v>
      </c>
      <c r="L40" s="21">
        <f t="shared" ref="L40:O40" si="28">L13+L14+L15</f>
        <v>325</v>
      </c>
      <c r="M40" s="21">
        <f t="shared" si="28"/>
        <v>-41</v>
      </c>
      <c r="N40" s="21">
        <f t="shared" si="28"/>
        <v>194</v>
      </c>
      <c r="O40" s="21">
        <f t="shared" si="28"/>
        <v>-8</v>
      </c>
      <c r="P40" s="21">
        <f t="shared" ref="P40:T40" si="29">P13+P14+P15</f>
        <v>181</v>
      </c>
      <c r="Q40" s="21">
        <f t="shared" si="29"/>
        <v>142</v>
      </c>
      <c r="R40" s="21">
        <f t="shared" si="29"/>
        <v>2193</v>
      </c>
      <c r="S40" s="21">
        <f t="shared" si="29"/>
        <v>538</v>
      </c>
      <c r="T40" s="21">
        <f t="shared" si="29"/>
        <v>533</v>
      </c>
      <c r="U40" s="21">
        <f t="shared" ref="U40:Y40" si="30">U13+U14+U15</f>
        <v>447</v>
      </c>
      <c r="V40" s="21">
        <f t="shared" si="30"/>
        <v>-391</v>
      </c>
      <c r="W40" s="21">
        <f t="shared" si="30"/>
        <v>-1461</v>
      </c>
      <c r="X40" s="21">
        <f t="shared" si="30"/>
        <v>-566</v>
      </c>
      <c r="Y40" s="21">
        <f t="shared" si="30"/>
        <v>-1125</v>
      </c>
      <c r="Z40" s="21">
        <f t="shared" ref="Z40:AB40" si="31">Z13+Z14+Z15</f>
        <v>-1062</v>
      </c>
      <c r="AA40" s="21">
        <f t="shared" si="31"/>
        <v>-1487</v>
      </c>
      <c r="AB40" s="21">
        <f t="shared" si="31"/>
        <v>261</v>
      </c>
    </row>
    <row r="41" spans="1:28" x14ac:dyDescent="0.3">
      <c r="A41" s="85" t="s">
        <v>214</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row>
    <row r="42" spans="1:28" x14ac:dyDescent="0.3">
      <c r="A42" s="8" t="s">
        <v>215</v>
      </c>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row>
    <row r="43" spans="1:28" x14ac:dyDescent="0.3">
      <c r="A43" s="85" t="s">
        <v>216</v>
      </c>
      <c r="B43" s="2">
        <f>IFERROR(B8/-(B14+B15),"")</f>
        <v>0.67688679245283023</v>
      </c>
      <c r="C43" s="2">
        <f t="shared" ref="C43:K43" si="32">IFERROR(C8/-(C14+C15),"")</f>
        <v>1.9950248756218905</v>
      </c>
      <c r="D43" s="2">
        <f t="shared" si="32"/>
        <v>1.6135957066189623</v>
      </c>
      <c r="E43" s="2">
        <f t="shared" si="32"/>
        <v>0.33223684210526316</v>
      </c>
      <c r="F43" s="2">
        <f t="shared" si="32"/>
        <v>0.29012345679012347</v>
      </c>
      <c r="G43" s="2">
        <f t="shared" si="32"/>
        <v>0.28417818740399386</v>
      </c>
      <c r="H43" s="2">
        <f t="shared" si="32"/>
        <v>15.882352941176471</v>
      </c>
      <c r="I43" s="2">
        <f t="shared" si="32"/>
        <v>1.5286343612334801</v>
      </c>
      <c r="J43" s="2">
        <f t="shared" si="32"/>
        <v>0.19783783783783784</v>
      </c>
      <c r="K43" s="2">
        <f t="shared" si="32"/>
        <v>0.5436241610738255</v>
      </c>
      <c r="L43" s="2">
        <f t="shared" ref="L43:O43" si="33">IFERROR(L8/-(L14+L15),"")</f>
        <v>7.041666666666667</v>
      </c>
      <c r="M43" s="2">
        <f t="shared" si="33"/>
        <v>2.0604651162790697</v>
      </c>
      <c r="N43" s="2">
        <f t="shared" si="33"/>
        <v>0.30970556161395857</v>
      </c>
      <c r="O43" s="2">
        <f t="shared" si="33"/>
        <v>0.54471544715447151</v>
      </c>
      <c r="P43" s="2">
        <f t="shared" ref="P43:T43" si="34">IFERROR(P8/-(P14+P15),"")</f>
        <v>6.2842105263157899</v>
      </c>
      <c r="Q43" s="2">
        <f t="shared" si="34"/>
        <v>3.4311926605504586</v>
      </c>
      <c r="R43" s="2">
        <f t="shared" si="34"/>
        <v>2.3671023965141611</v>
      </c>
      <c r="S43" s="2">
        <f t="shared" si="34"/>
        <v>1.5724637681159421</v>
      </c>
      <c r="T43" s="2">
        <f t="shared" si="34"/>
        <v>4.6744186046511631</v>
      </c>
      <c r="U43" s="2">
        <f t="shared" ref="U43:Y43" si="35">IFERROR(U8/-(U14+U15),"")</f>
        <v>5.4956521739130437</v>
      </c>
      <c r="V43" s="2">
        <f t="shared" si="35"/>
        <v>0.21024258760107817</v>
      </c>
      <c r="W43" s="2">
        <f t="shared" si="35"/>
        <v>-3.3380952380952382</v>
      </c>
      <c r="X43" s="2">
        <f t="shared" si="35"/>
        <v>-2.1035714285714286</v>
      </c>
      <c r="Y43" s="2">
        <f t="shared" si="35"/>
        <v>-3.4680851063829787</v>
      </c>
      <c r="Z43" s="2">
        <f t="shared" ref="Z43:AB43" si="36">IFERROR(Z8/-(Z14+Z15),"")</f>
        <v>-3.229090909090909</v>
      </c>
      <c r="AA43" s="2">
        <f t="shared" si="36"/>
        <v>-5.296153846153846</v>
      </c>
      <c r="AB43" s="2">
        <f t="shared" si="36"/>
        <v>1.8680555555555556</v>
      </c>
    </row>
    <row r="44" spans="1:28" x14ac:dyDescent="0.3">
      <c r="A44" s="85" t="s">
        <v>217</v>
      </c>
      <c r="B44" s="2">
        <f>IFERROR(B13/-(B14+B15),"")</f>
        <v>1.9882075471698113</v>
      </c>
      <c r="C44" s="2">
        <f t="shared" ref="C44:K44" si="37">IFERROR(C13/-(C14+C15),"")</f>
        <v>2.5472636815920398</v>
      </c>
      <c r="D44" s="2">
        <f t="shared" si="37"/>
        <v>0.80858676207513414</v>
      </c>
      <c r="E44" s="2">
        <f t="shared" si="37"/>
        <v>-2.4671052631578948E-2</v>
      </c>
      <c r="F44" s="2">
        <f t="shared" si="37"/>
        <v>0.29012345679012347</v>
      </c>
      <c r="G44" s="2">
        <f t="shared" si="37"/>
        <v>0.50460829493087556</v>
      </c>
      <c r="H44" s="2">
        <f t="shared" si="37"/>
        <v>6.4411764705882355</v>
      </c>
      <c r="I44" s="2">
        <f t="shared" si="37"/>
        <v>3.0925110132158591</v>
      </c>
      <c r="J44" s="2">
        <f t="shared" si="37"/>
        <v>1.1102702702702703</v>
      </c>
      <c r="K44" s="2">
        <f t="shared" si="37"/>
        <v>0.92729306487695751</v>
      </c>
      <c r="L44" s="2">
        <f t="shared" ref="L44:O44" si="38">IFERROR(L13/-(L14+L15),"")</f>
        <v>2.9345238095238093</v>
      </c>
      <c r="M44" s="2">
        <f t="shared" si="38"/>
        <v>0.90465116279069768</v>
      </c>
      <c r="N44" s="2">
        <f t="shared" si="38"/>
        <v>1.2115594329334787</v>
      </c>
      <c r="O44" s="2">
        <f t="shared" si="38"/>
        <v>0.99070847851335653</v>
      </c>
      <c r="P44" s="2">
        <f t="shared" ref="P44:T44" si="39">IFERROR(P13/-(P14+P15),"")</f>
        <v>1.9526315789473685</v>
      </c>
      <c r="Q44" s="2">
        <f t="shared" si="39"/>
        <v>1.6513761467889909</v>
      </c>
      <c r="R44" s="2">
        <f t="shared" si="39"/>
        <v>3.3888888888888888</v>
      </c>
      <c r="S44" s="2">
        <f t="shared" si="39"/>
        <v>1.9746376811594204</v>
      </c>
      <c r="T44" s="2">
        <f t="shared" si="39"/>
        <v>2.7707641196013291</v>
      </c>
      <c r="U44" s="2">
        <f t="shared" ref="U44:Y44" si="40">IFERROR(U13/-(U14+U15),"")</f>
        <v>2.9434782608695653</v>
      </c>
      <c r="V44" s="2">
        <f t="shared" si="40"/>
        <v>-5.3908355795148251E-2</v>
      </c>
      <c r="W44" s="2">
        <f t="shared" si="40"/>
        <v>-5.9571428571428573</v>
      </c>
      <c r="X44" s="2">
        <f t="shared" si="40"/>
        <v>-1.0214285714285714</v>
      </c>
      <c r="Y44" s="2">
        <f t="shared" si="40"/>
        <v>-2.4194528875379939</v>
      </c>
      <c r="Z44" s="2">
        <f t="shared" ref="Z44:AB44" si="41">IFERROR(Z13/-(Z14+Z15),"")</f>
        <v>-2.8618181818181818</v>
      </c>
      <c r="AA44" s="2">
        <f t="shared" si="41"/>
        <v>-4.7192307692307693</v>
      </c>
      <c r="AB44" s="2">
        <f t="shared" si="41"/>
        <v>2.8125</v>
      </c>
    </row>
    <row r="45" spans="1:28" x14ac:dyDescent="0.3">
      <c r="A45" s="85" t="s">
        <v>218</v>
      </c>
      <c r="B45" s="46">
        <f ca="1">IFERROR(IF(Inputs!$E$14 = "Quarterly", IF(YEAR(B3)=Inputs!$E$17, 'Interim Balance Sheet Reported'!B70/AVERAGE('Annual Cash Flow Reported'!$F$8,'Annual Cash Flow Reported'!$G$8), 'Interim Balance Sheet Reported'!B70/SUM(OFFSET('Interim Cash Flow Reported'!B8,0,-3,,4))), IF(B3=DATE(Inputs!$E$17,Inputs!$E$15,Inputs!$E$15), 'Interim Balance Sheet Reported'!B70/AVERAGE('Annual Cash Flow Reported'!$E$8,'Annual Cash Flow Reported'!$F$8), 'Interim Balance Sheet Reported'!B70/SUM(OFFSET('Interim Cash Flow Reported'!B8,0,-1,,2)))),"")</f>
        <v>4.4379059992357659</v>
      </c>
      <c r="C45" s="46">
        <f ca="1">IFERROR(IF(Inputs!$E$14 = "Quarterly", IF(YEAR(C3)=Inputs!$E$17, 'Interim Balance Sheet Reported'!C70/AVERAGE('Annual Cash Flow Reported'!$F$8,'Annual Cash Flow Reported'!$G$8), 'Interim Balance Sheet Reported'!C70/SUM(OFFSET('Interim Cash Flow Reported'!C8,0,-3,,4))), IF(C3=DATE(Inputs!$E$17,Inputs!$E$15,Inputs!$E$15), 'Interim Balance Sheet Reported'!C70/AVERAGE('Annual Cash Flow Reported'!$E$8,'Annual Cash Flow Reported'!$F$8), 'Interim Balance Sheet Reported'!C70/SUM(OFFSET('Interim Cash Flow Reported'!C8,0,-1,,2)))),"")</f>
        <v>4.2957585021016431</v>
      </c>
      <c r="D45" s="46">
        <f ca="1">IFERROR(IF(Inputs!$E$14 = "Quarterly", IF(YEAR(D3)=Inputs!$E$17, 'Interim Balance Sheet Reported'!D70/AVERAGE('Annual Cash Flow Reported'!$F$8,'Annual Cash Flow Reported'!$G$8), 'Interim Balance Sheet Reported'!D70/SUM(OFFSET('Interim Cash Flow Reported'!D8,0,-3,,4))), IF(D3=DATE(Inputs!$E$17,Inputs!$E$15,Inputs!$E$15), 'Interim Balance Sheet Reported'!D70/AVERAGE('Annual Cash Flow Reported'!$E$8,'Annual Cash Flow Reported'!$F$8), 'Interim Balance Sheet Reported'!D70/SUM(OFFSET('Interim Cash Flow Reported'!D8,0,-1,,2)))),"")</f>
        <v>4.6908674054260606</v>
      </c>
      <c r="E45" s="46">
        <f ca="1">IFERROR(IF(Inputs!$E$14 = "Quarterly", IF(YEAR(E3)=Inputs!$E$17, 'Interim Balance Sheet Reported'!E70/AVERAGE('Annual Cash Flow Reported'!$F$8,'Annual Cash Flow Reported'!$G$8), 'Interim Balance Sheet Reported'!E70/SUM(OFFSET('Interim Cash Flow Reported'!E8,0,-3,,4))), IF(E3=DATE(Inputs!$E$17,Inputs!$E$15,Inputs!$E$15), 'Interim Balance Sheet Reported'!E70/AVERAGE('Annual Cash Flow Reported'!$E$8,'Annual Cash Flow Reported'!$F$8), 'Interim Balance Sheet Reported'!E70/SUM(OFFSET('Interim Cash Flow Reported'!E8,0,-1,,2)))),"")</f>
        <v>4.8865112724493693</v>
      </c>
      <c r="F45" s="46">
        <f ca="1">IFERROR(IF(Inputs!$E$14 = "Quarterly", IF(YEAR(F3)=Inputs!$E$17, 'Interim Balance Sheet Reported'!F70/AVERAGE('Annual Cash Flow Reported'!$F$8,'Annual Cash Flow Reported'!$G$8), 'Interim Balance Sheet Reported'!F70/SUM(OFFSET('Interim Cash Flow Reported'!F8,0,-3,,4))), IF(F3=DATE(Inputs!$E$17,Inputs!$E$15,Inputs!$E$15), 'Interim Balance Sheet Reported'!F70/AVERAGE('Annual Cash Flow Reported'!$E$8,'Annual Cash Flow Reported'!$F$8), 'Interim Balance Sheet Reported'!F70/SUM(OFFSET('Interim Cash Flow Reported'!F8,0,-1,,2)))),"")</f>
        <v>3.6082820369334079</v>
      </c>
      <c r="G45" s="46">
        <f ca="1">IFERROR(IF(Inputs!$E$14 = "Quarterly", IF(YEAR(G3)=Inputs!$E$17, 'Interim Balance Sheet Reported'!G70/AVERAGE('Annual Cash Flow Reported'!$F$8,'Annual Cash Flow Reported'!$G$8), 'Interim Balance Sheet Reported'!G70/SUM(OFFSET('Interim Cash Flow Reported'!G8,0,-3,,4))), IF(G3=DATE(Inputs!$E$17,Inputs!$E$15,Inputs!$E$15), 'Interim Balance Sheet Reported'!G70/AVERAGE('Annual Cash Flow Reported'!$E$8,'Annual Cash Flow Reported'!$F$8), 'Interim Balance Sheet Reported'!G70/SUM(OFFSET('Interim Cash Flow Reported'!G8,0,-1,,2)))),"")</f>
        <v>3.9578587699316627</v>
      </c>
      <c r="H45" s="46">
        <f ca="1">IFERROR(IF(Inputs!$E$14 = "Quarterly", IF(YEAR(H3)=Inputs!$E$17, 'Interim Balance Sheet Reported'!H70/AVERAGE('Annual Cash Flow Reported'!$F$8,'Annual Cash Flow Reported'!$G$8), 'Interim Balance Sheet Reported'!H70/SUM(OFFSET('Interim Cash Flow Reported'!H8,0,-3,,4))), IF(H3=DATE(Inputs!$E$17,Inputs!$E$15,Inputs!$E$15), 'Interim Balance Sheet Reported'!H70/AVERAGE('Annual Cash Flow Reported'!$E$8,'Annual Cash Flow Reported'!$F$8), 'Interim Balance Sheet Reported'!H70/SUM(OFFSET('Interim Cash Flow Reported'!H8,0,-1,,2)))),"")</f>
        <v>3.6075491209927613</v>
      </c>
      <c r="I45" s="46">
        <f ca="1">IFERROR(IF(Inputs!$E$14 = "Quarterly", IF(YEAR(I3)=Inputs!$E$17, 'Interim Balance Sheet Reported'!I70/AVERAGE('Annual Cash Flow Reported'!$F$8,'Annual Cash Flow Reported'!$G$8), 'Interim Balance Sheet Reported'!I70/SUM(OFFSET('Interim Cash Flow Reported'!I8,0,-3,,4))), IF(I3=DATE(Inputs!$E$17,Inputs!$E$15,Inputs!$E$15), 'Interim Balance Sheet Reported'!I70/AVERAGE('Annual Cash Flow Reported'!$E$8,'Annual Cash Flow Reported'!$F$8), 'Interim Balance Sheet Reported'!I70/SUM(OFFSET('Interim Cash Flow Reported'!I8,0,-1,,2)))),"")</f>
        <v>3.1832611832611835</v>
      </c>
      <c r="J45" s="46">
        <f ca="1">IFERROR(IF(Inputs!$E$14 = "Quarterly", IF(YEAR(J3)=Inputs!$E$17, 'Interim Balance Sheet Reported'!J70/AVERAGE('Annual Cash Flow Reported'!$F$8,'Annual Cash Flow Reported'!$G$8), 'Interim Balance Sheet Reported'!J70/SUM(OFFSET('Interim Cash Flow Reported'!J8,0,-3,,4))), IF(J3=DATE(Inputs!$E$17,Inputs!$E$15,Inputs!$E$15), 'Interim Balance Sheet Reported'!J70/AVERAGE('Annual Cash Flow Reported'!$E$8,'Annual Cash Flow Reported'!$F$8), 'Interim Balance Sheet Reported'!J70/SUM(OFFSET('Interim Cash Flow Reported'!J8,0,-1,,2)))),"")</f>
        <v>3.4262626262626261</v>
      </c>
      <c r="K45" s="46">
        <f ca="1">IFERROR(IF(Inputs!$E$14 = "Quarterly", IF(YEAR(K3)=Inputs!$E$17, 'Interim Balance Sheet Reported'!K70/AVERAGE('Annual Cash Flow Reported'!$F$8,'Annual Cash Flow Reported'!$G$8), 'Interim Balance Sheet Reported'!K70/SUM(OFFSET('Interim Cash Flow Reported'!K8,0,-3,,4))), IF(K3=DATE(Inputs!$E$17,Inputs!$E$15,Inputs!$E$15), 'Interim Balance Sheet Reported'!K70/AVERAGE('Annual Cash Flow Reported'!$E$8,'Annual Cash Flow Reported'!$F$8), 'Interim Balance Sheet Reported'!K70/SUM(OFFSET('Interim Cash Flow Reported'!K8,0,-1,,2)))),"")</f>
        <v>3.2275763358778624</v>
      </c>
      <c r="L45" s="46">
        <f ca="1">IFERROR(IF(Inputs!$E$14 = "Quarterly", IF(YEAR(L3)=Inputs!$E$17, 'Interim Balance Sheet Reported'!L70/AVERAGE('Annual Cash Flow Reported'!$F$8,'Annual Cash Flow Reported'!$G$8), 'Interim Balance Sheet Reported'!L70/SUM(OFFSET('Interim Cash Flow Reported'!L8,0,-3,,4))), IF(L3=DATE(Inputs!$E$17,Inputs!$E$15,Inputs!$E$15), 'Interim Balance Sheet Reported'!L70/AVERAGE('Annual Cash Flow Reported'!$E$8,'Annual Cash Flow Reported'!$F$8), 'Interim Balance Sheet Reported'!L70/SUM(OFFSET('Interim Cash Flow Reported'!L8,0,-1,,2)))),"")</f>
        <v>2.8781264211005002</v>
      </c>
      <c r="M45" s="46">
        <f ca="1">IFERROR(IF(Inputs!$E$14 = "Quarterly", IF(YEAR(M3)=Inputs!$E$17, 'Interim Balance Sheet Reported'!M70/AVERAGE('Annual Cash Flow Reported'!$F$8,'Annual Cash Flow Reported'!$G$8), 'Interim Balance Sheet Reported'!M70/SUM(OFFSET('Interim Cash Flow Reported'!M8,0,-3,,4))), IF(M3=DATE(Inputs!$E$17,Inputs!$E$15,Inputs!$E$15), 'Interim Balance Sheet Reported'!M70/AVERAGE('Annual Cash Flow Reported'!$E$8,'Annual Cash Flow Reported'!$F$8), 'Interim Balance Sheet Reported'!M70/SUM(OFFSET('Interim Cash Flow Reported'!M8,0,-1,,2)))),"")</f>
        <v>2.2348429510591674</v>
      </c>
      <c r="N45" s="46">
        <f ca="1">IFERROR(IF(Inputs!$E$14 = "Quarterly", IF(YEAR(N3)=Inputs!$E$17, 'Interim Balance Sheet Reported'!N70/AVERAGE('Annual Cash Flow Reported'!$F$8,'Annual Cash Flow Reported'!$G$8), 'Interim Balance Sheet Reported'!N70/SUM(OFFSET('Interim Cash Flow Reported'!N8,0,-3,,4))), IF(N3=DATE(Inputs!$E$17,Inputs!$E$15,Inputs!$E$15), 'Interim Balance Sheet Reported'!N70/AVERAGE('Annual Cash Flow Reported'!$E$8,'Annual Cash Flow Reported'!$F$8), 'Interim Balance Sheet Reported'!N70/SUM(OFFSET('Interim Cash Flow Reported'!N8,0,-1,,2)))),"")</f>
        <v>2.3730186685452623</v>
      </c>
      <c r="O45" s="46">
        <f ca="1">IFERROR(IF(Inputs!$E$14 = "Quarterly", IF(YEAR(O3)=Inputs!$E$17, 'Interim Balance Sheet Reported'!O70/AVERAGE('Annual Cash Flow Reported'!$F$8,'Annual Cash Flow Reported'!$G$8), 'Interim Balance Sheet Reported'!O70/SUM(OFFSET('Interim Cash Flow Reported'!O8,0,-3,,4))), IF(O3=DATE(Inputs!$E$17,Inputs!$E$15,Inputs!$E$15), 'Interim Balance Sheet Reported'!O70/AVERAGE('Annual Cash Flow Reported'!$E$8,'Annual Cash Flow Reported'!$F$8), 'Interim Balance Sheet Reported'!O70/SUM(OFFSET('Interim Cash Flow Reported'!O8,0,-1,,2)))),"")</f>
        <v>2.4833451452870303</v>
      </c>
      <c r="P45" s="46">
        <f ca="1">IFERROR(IF(Inputs!$E$14 = "Quarterly", IF(YEAR(P3)=Inputs!$E$17, 'Interim Balance Sheet Reported'!P70/AVERAGE('Annual Cash Flow Reported'!$F$8,'Annual Cash Flow Reported'!$G$8), 'Interim Balance Sheet Reported'!P70/SUM(OFFSET('Interim Cash Flow Reported'!P8,0,-3,,4))), IF(P3=DATE(Inputs!$E$17,Inputs!$E$15,Inputs!$E$15), 'Interim Balance Sheet Reported'!P70/AVERAGE('Annual Cash Flow Reported'!$E$8,'Annual Cash Flow Reported'!$F$8), 'Interim Balance Sheet Reported'!P70/SUM(OFFSET('Interim Cash Flow Reported'!P8,0,-1,,2)))),"")</f>
        <v>2.3572184962936817</v>
      </c>
      <c r="Q45" s="46">
        <f ca="1">IFERROR(IF(Inputs!$E$14 = "Quarterly", IF(YEAR(Q3)=Inputs!$E$17, 'Interim Balance Sheet Reported'!Q70/AVERAGE('Annual Cash Flow Reported'!$F$8,'Annual Cash Flow Reported'!$G$8), 'Interim Balance Sheet Reported'!Q70/SUM(OFFSET('Interim Cash Flow Reported'!Q8,0,-3,,4))), IF(Q3=DATE(Inputs!$E$17,Inputs!$E$15,Inputs!$E$15), 'Interim Balance Sheet Reported'!Q70/AVERAGE('Annual Cash Flow Reported'!$E$8,'Annual Cash Flow Reported'!$F$8), 'Interim Balance Sheet Reported'!Q70/SUM(OFFSET('Interim Cash Flow Reported'!Q8,0,-1,,2)))),"")</f>
        <v>3.6812615955473098</v>
      </c>
      <c r="R45" s="46">
        <f ca="1">IFERROR(IF(Inputs!$E$14 = "Quarterly", IF(YEAR(R3)=Inputs!$E$17, 'Interim Balance Sheet Reported'!R70/AVERAGE('Annual Cash Flow Reported'!$F$8,'Annual Cash Flow Reported'!$G$8), 'Interim Balance Sheet Reported'!R70/SUM(OFFSET('Interim Cash Flow Reported'!R8,0,-3,,4))), IF(R3=DATE(Inputs!$E$17,Inputs!$E$15,Inputs!$E$15), 'Interim Balance Sheet Reported'!R70/AVERAGE('Annual Cash Flow Reported'!$E$8,'Annual Cash Flow Reported'!$F$8), 'Interim Balance Sheet Reported'!R70/SUM(OFFSET('Interim Cash Flow Reported'!R8,0,-1,,2)))),"")</f>
        <v>2.1151832460732982</v>
      </c>
      <c r="S45" s="46">
        <f ca="1">IFERROR(IF(Inputs!$E$14 = "Quarterly", IF(YEAR(S3)=Inputs!$E$17, 'Interim Balance Sheet Reported'!S70/AVERAGE('Annual Cash Flow Reported'!$F$8,'Annual Cash Flow Reported'!$G$8), 'Interim Balance Sheet Reported'!S70/SUM(OFFSET('Interim Cash Flow Reported'!S8,0,-3,,4))), IF(S3=DATE(Inputs!$E$17,Inputs!$E$15,Inputs!$E$15), 'Interim Balance Sheet Reported'!S70/AVERAGE('Annual Cash Flow Reported'!$E$8,'Annual Cash Flow Reported'!$F$8), 'Interim Balance Sheet Reported'!S70/SUM(OFFSET('Interim Cash Flow Reported'!S8,0,-1,,2)))),"")</f>
        <v>1.8966486052578768</v>
      </c>
      <c r="T45" s="46">
        <f ca="1">IFERROR(IF(Inputs!$E$14 = "Quarterly", IF(YEAR(T3)=Inputs!$E$17, 'Interim Balance Sheet Reported'!T70/AVERAGE('Annual Cash Flow Reported'!$F$8,'Annual Cash Flow Reported'!$G$8), 'Interim Balance Sheet Reported'!T70/SUM(OFFSET('Interim Cash Flow Reported'!T8,0,-3,,4))), IF(T3=DATE(Inputs!$E$17,Inputs!$E$15,Inputs!$E$15), 'Interim Balance Sheet Reported'!T70/AVERAGE('Annual Cash Flow Reported'!$E$8,'Annual Cash Flow Reported'!$F$8), 'Interim Balance Sheet Reported'!T70/SUM(OFFSET('Interim Cash Flow Reported'!T8,0,-1,,2)))),"")</f>
        <v>1.8013856812933025</v>
      </c>
      <c r="U45" s="46">
        <f ca="1">IFERROR(IF(Inputs!$E$14 = "Quarterly", IF(YEAR(U3)=Inputs!$E$17, 'Interim Balance Sheet Reported'!U70/AVERAGE('Annual Cash Flow Reported'!$F$8,'Annual Cash Flow Reported'!$G$8), 'Interim Balance Sheet Reported'!U70/SUM(OFFSET('Interim Cash Flow Reported'!U8,0,-3,,4))), IF(U3=DATE(Inputs!$E$17,Inputs!$E$15,Inputs!$E$15), 'Interim Balance Sheet Reported'!U70/AVERAGE('Annual Cash Flow Reported'!$E$8,'Annual Cash Flow Reported'!$F$8), 'Interim Balance Sheet Reported'!U70/SUM(OFFSET('Interim Cash Flow Reported'!U8,0,-1,,2)))),"")</f>
        <v>1.6179971988795518</v>
      </c>
      <c r="V45" s="46">
        <f ca="1">IFERROR(IF(Inputs!$E$14 = "Quarterly", IF(YEAR(V3)=Inputs!$E$17, 'Interim Balance Sheet Reported'!V70/AVERAGE('Annual Cash Flow Reported'!$F$8,'Annual Cash Flow Reported'!$G$8), 'Interim Balance Sheet Reported'!V70/SUM(OFFSET('Interim Cash Flow Reported'!V8,0,-3,,4))), IF(V3=DATE(Inputs!$E$17,Inputs!$E$15,Inputs!$E$15), 'Interim Balance Sheet Reported'!V70/AVERAGE('Annual Cash Flow Reported'!$E$8,'Annual Cash Flow Reported'!$F$8), 'Interim Balance Sheet Reported'!V70/SUM(OFFSET('Interim Cash Flow Reported'!V8,0,-1,,2)))),"")</f>
        <v>2.9563173901022948</v>
      </c>
      <c r="W45" s="46">
        <f ca="1">IFERROR(IF(Inputs!$E$14 = "Quarterly", IF(YEAR(W3)=Inputs!$E$17, 'Interim Balance Sheet Reported'!W70/AVERAGE('Annual Cash Flow Reported'!$F$8,'Annual Cash Flow Reported'!$G$8), 'Interim Balance Sheet Reported'!W70/SUM(OFFSET('Interim Cash Flow Reported'!W8,0,-3,,4))), IF(W3=DATE(Inputs!$E$17,Inputs!$E$15,Inputs!$E$15), 'Interim Balance Sheet Reported'!W70/AVERAGE('Annual Cash Flow Reported'!$E$8,'Annual Cash Flow Reported'!$F$8), 'Interim Balance Sheet Reported'!W70/SUM(OFFSET('Interim Cash Flow Reported'!W8,0,-1,,2)))),"")</f>
        <v>6.681640625</v>
      </c>
      <c r="X45" s="46">
        <f ca="1">IFERROR(IF(Inputs!$E$14 = "Quarterly", IF(YEAR(X3)=Inputs!$E$17, 'Interim Balance Sheet Reported'!X70/AVERAGE('Annual Cash Flow Reported'!$F$8,'Annual Cash Flow Reported'!$G$8), 'Interim Balance Sheet Reported'!X70/SUM(OFFSET('Interim Cash Flow Reported'!X8,0,-3,,4))), IF(X3=DATE(Inputs!$E$17,Inputs!$E$15,Inputs!$E$15), 'Interim Balance Sheet Reported'!X70/AVERAGE('Annual Cash Flow Reported'!$E$8,'Annual Cash Flow Reported'!$F$8), 'Interim Balance Sheet Reported'!X70/SUM(OFFSET('Interim Cash Flow Reported'!X8,0,-1,,2)))),"")</f>
        <v>253.11538461538461</v>
      </c>
      <c r="Y45" s="46">
        <f ca="1">IFERROR(IF(Inputs!$E$14 = "Quarterly", IF(YEAR(Y3)=Inputs!$E$17, 'Interim Balance Sheet Reported'!Y70/AVERAGE('Annual Cash Flow Reported'!$F$8,'Annual Cash Flow Reported'!$G$8), 'Interim Balance Sheet Reported'!Y70/SUM(OFFSET('Interim Cash Flow Reported'!Y8,0,-3,,4))), IF(Y3=DATE(Inputs!$E$17,Inputs!$E$15,Inputs!$E$15), 'Interim Balance Sheet Reported'!Y70/AVERAGE('Annual Cash Flow Reported'!$E$8,'Annual Cash Flow Reported'!$F$8), 'Interim Balance Sheet Reported'!Y70/SUM(OFFSET('Interim Cash Flow Reported'!Y8,0,-1,,2)))),"")</f>
        <v>-5.5201869953251173</v>
      </c>
      <c r="Z45" s="46">
        <f ca="1">IFERROR(IF(Inputs!$E$14 = "Quarterly", IF(YEAR(Z3)=Inputs!$E$17, 'Interim Balance Sheet Reported'!Z70/AVERAGE('Annual Cash Flow Reported'!$F$8,'Annual Cash Flow Reported'!$G$8), 'Interim Balance Sheet Reported'!Z70/SUM(OFFSET('Interim Cash Flow Reported'!Z8,0,-3,,4))), IF(Z3=DATE(Inputs!$E$17,Inputs!$E$15,Inputs!$E$15), 'Interim Balance Sheet Reported'!Z70/AVERAGE('Annual Cash Flow Reported'!$E$8,'Annual Cash Flow Reported'!$F$8), 'Interim Balance Sheet Reported'!Z70/SUM(OFFSET('Interim Cash Flow Reported'!Z8,0,-1,,2)))),"")</f>
        <v>-3.8421211208195238</v>
      </c>
      <c r="AA45" s="46">
        <f ca="1">IFERROR(IF(Inputs!$E$14 = "Quarterly", IF(YEAR(AA3)=Inputs!$E$17, 'Interim Balance Sheet Reported'!AA70/AVERAGE('Annual Cash Flow Reported'!$F$8,'Annual Cash Flow Reported'!$G$8), 'Interim Balance Sheet Reported'!AA70/SUM(OFFSET('Interim Cash Flow Reported'!AA8,0,-3,,4))), IF(AA3=DATE(Inputs!$E$17,Inputs!$E$15,Inputs!$E$15), 'Interim Balance Sheet Reported'!AA70/AVERAGE('Annual Cash Flow Reported'!$E$8,'Annual Cash Flow Reported'!$F$8), 'Interim Balance Sheet Reported'!AA70/SUM(OFFSET('Interim Cash Flow Reported'!AA8,0,-1,,2)))),"")</f>
        <v>-3.1904881101376721</v>
      </c>
      <c r="AB45" s="46">
        <f ca="1">IFERROR(IF(Inputs!$E$14 = "Quarterly", IF(YEAR(AB3)=Inputs!$E$17, 'Interim Balance Sheet Reported'!AB70/AVERAGE('Annual Cash Flow Reported'!$F$8,'Annual Cash Flow Reported'!$G$8), 'Interim Balance Sheet Reported'!AB70/SUM(OFFSET('Interim Cash Flow Reported'!AB8,0,-3,,4))), IF(AB3=DATE(Inputs!$E$17,Inputs!$E$15,Inputs!$E$15), 'Interim Balance Sheet Reported'!AB70/AVERAGE('Annual Cash Flow Reported'!$E$8,'Annual Cash Flow Reported'!$F$8), 'Interim Balance Sheet Reported'!AB70/SUM(OFFSET('Interim Cash Flow Reported'!AB8,0,-1,,2)))),"")</f>
        <v>-5.3178195728402935</v>
      </c>
    </row>
    <row r="46" spans="1:28" x14ac:dyDescent="0.3">
      <c r="A46" s="85" t="s">
        <v>219</v>
      </c>
      <c r="B46" s="46">
        <f>IFERROR(B8/-'Interim Inc Statement Reported'!B90,"")</f>
        <v>3.5432098765432101</v>
      </c>
      <c r="C46" s="46">
        <f>IFERROR(C8/-'Interim Inc Statement Reported'!C90,"")</f>
        <v>5.493150684931507</v>
      </c>
      <c r="D46" s="46">
        <f>IFERROR(D8/-'Interim Inc Statement Reported'!D90,"")</f>
        <v>10.488372093023257</v>
      </c>
      <c r="E46" s="46">
        <f>IFERROR(E8/-'Interim Inc Statement Reported'!E90,"")</f>
        <v>2.5569620253164556</v>
      </c>
      <c r="F46" s="46">
        <f>IFERROR(F8/-'Interim Inc Statement Reported'!F90,"")</f>
        <v>3.8630136986301369</v>
      </c>
      <c r="G46" s="46">
        <f>IFERROR(G8/-'Interim Inc Statement Reported'!G90,"")</f>
        <v>4.4047619047619051</v>
      </c>
      <c r="H46" s="46">
        <f>IFERROR(H8/-'Interim Inc Statement Reported'!H90,"")</f>
        <v>12.705882352941176</v>
      </c>
      <c r="I46" s="46">
        <f>IFERROR(I8/-'Interim Inc Statement Reported'!I90,"")</f>
        <v>4.6891891891891895</v>
      </c>
      <c r="J46" s="46">
        <f>IFERROR(J8/-'Interim Inc Statement Reported'!J90,"")</f>
        <v>2.6142857142857143</v>
      </c>
      <c r="K46" s="46">
        <f>IFERROR(K8/-'Interim Inc Statement Reported'!K90,"")</f>
        <v>6.845070422535211</v>
      </c>
      <c r="L46" s="46">
        <f>IFERROR(L8/-'Interim Inc Statement Reported'!L90,"")</f>
        <v>18.484375</v>
      </c>
      <c r="M46" s="46">
        <f>IFERROR(M8/-'Interim Inc Statement Reported'!M90,"")</f>
        <v>12.657142857142857</v>
      </c>
      <c r="N46" s="46">
        <f>IFERROR(N8/-'Interim Inc Statement Reported'!N90,"")</f>
        <v>4.0571428571428569</v>
      </c>
      <c r="O46" s="46">
        <f>IFERROR(O8/-'Interim Inc Statement Reported'!O90,"")</f>
        <v>6.0909090909090908</v>
      </c>
      <c r="P46" s="46">
        <f>IFERROR(P8/-'Interim Inc Statement Reported'!P90,"")</f>
        <v>16.356164383561644</v>
      </c>
      <c r="Q46" s="46">
        <f>IFERROR(Q8/-'Interim Inc Statement Reported'!Q90,"")</f>
        <v>9.8421052631578956</v>
      </c>
      <c r="R46" s="46">
        <f>IFERROR(R8/-'Interim Inc Statement Reported'!R90,"")</f>
        <v>17.384</v>
      </c>
      <c r="S46" s="46">
        <f>IFERROR(S8/-'Interim Inc Statement Reported'!S90,"")</f>
        <v>7.1147540983606561</v>
      </c>
      <c r="T46" s="46">
        <f>IFERROR(T8/-'Interim Inc Statement Reported'!T90,"")</f>
        <v>11.725</v>
      </c>
      <c r="U46" s="46">
        <f>IFERROR(U8/-'Interim Inc Statement Reported'!U90,"")</f>
        <v>11.185840707964601</v>
      </c>
      <c r="V46" s="46">
        <f>IFERROR(V8/-'Interim Inc Statement Reported'!V90,"")</f>
        <v>0.64462809917355368</v>
      </c>
      <c r="W46" s="46">
        <f>IFERROR(W8/-'Interim Inc Statement Reported'!W90,"")</f>
        <v>-4.9020979020979025</v>
      </c>
      <c r="X46" s="46">
        <f>IFERROR(X8/-'Interim Inc Statement Reported'!X90,"")</f>
        <v>-3.0051020408163267</v>
      </c>
      <c r="Y46" s="46">
        <f>IFERROR(Y8/-'Interim Inc Statement Reported'!Y90,"")</f>
        <v>-5.8214285714285712</v>
      </c>
      <c r="Z46" s="46">
        <f>IFERROR(Z8/-'Interim Inc Statement Reported'!Z90,"")</f>
        <v>-5.1329479768786124</v>
      </c>
      <c r="AA46" s="46">
        <f>IFERROR(AA8/-'Interim Inc Statement Reported'!AA90,"")</f>
        <v>-8.6603773584905657</v>
      </c>
      <c r="AB46" s="46">
        <f>IFERROR(AB8/-'Interim Inc Statement Reported'!AB90,"")</f>
        <v>1.3937823834196892</v>
      </c>
    </row>
    <row r="47" spans="1:28" x14ac:dyDescent="0.3">
      <c r="A47" s="85" t="s">
        <v>220</v>
      </c>
      <c r="B47" s="2">
        <f ca="1">IFERROR(IF(Inputs!$E$14 = "Quarterly", IF(YEAR(B3)=Inputs!$E$17, AVERAGE('Annual Cash Flow Reported'!$F$8,'Annual Cash Flow Reported'!$G$8)/'Interim Balance Sheet Reported'!B75, SUM(OFFSET('Interim Cash Flow Reported'!B8,0,-3,,4))/'Interim Balance Sheet Reported'!B75), IF(B3=DATE(Inputs!$E$17,Inputs!$E$15,Inputs!$E$16), AVERAGE('Annual Cash Flow Reported'!$E$8,'Annual Cash Flow Reported'!$F$8)/'Interim Balance Sheet Reported'!B75, SUM(OFFSET('Interim Cash Flow Reported'!B8,0,-1,,2))/'Interim Balance Sheet Reported'!B75)),"")</f>
        <v>0.24744704992435704</v>
      </c>
      <c r="C47" s="2">
        <f ca="1">IFERROR(IF(Inputs!$E$14 = "Quarterly", IF(YEAR(C3)=Inputs!$E$17, AVERAGE('Annual Cash Flow Reported'!$F$8,'Annual Cash Flow Reported'!$G$8)/'Interim Balance Sheet Reported'!C75, SUM(OFFSET('Interim Cash Flow Reported'!C8,0,-3,,4))/'Interim Balance Sheet Reported'!C75), IF(C3=DATE(Inputs!$E$17,Inputs!$E$15,Inputs!$E$16), AVERAGE('Annual Cash Flow Reported'!$E$8,'Annual Cash Flow Reported'!$F$8)/'Interim Balance Sheet Reported'!C75, SUM(OFFSET('Interim Cash Flow Reported'!C8,0,-1,,2))/'Interim Balance Sheet Reported'!C75)),"")</f>
        <v>0.26536199553843032</v>
      </c>
      <c r="D47" s="2">
        <f ca="1">IFERROR(IF(Inputs!$E$14 = "Quarterly", IF(YEAR(D3)=Inputs!$E$17, AVERAGE('Annual Cash Flow Reported'!$F$8,'Annual Cash Flow Reported'!$G$8)/'Interim Balance Sheet Reported'!D75, SUM(OFFSET('Interim Cash Flow Reported'!D8,0,-3,,4))/'Interim Balance Sheet Reported'!D75), IF(D3=DATE(Inputs!$E$17,Inputs!$E$15,Inputs!$E$16), AVERAGE('Annual Cash Flow Reported'!$E$8,'Annual Cash Flow Reported'!$F$8)/'Interim Balance Sheet Reported'!D75, SUM(OFFSET('Interim Cash Flow Reported'!D8,0,-1,,2))/'Interim Balance Sheet Reported'!D75)),"")</f>
        <v>0.24444236876517841</v>
      </c>
      <c r="E47" s="2">
        <f ca="1">IFERROR(IF(Inputs!$E$14 = "Quarterly", IF(YEAR(E3)=Inputs!$E$17, AVERAGE('Annual Cash Flow Reported'!$F$8,'Annual Cash Flow Reported'!$G$8)/'Interim Balance Sheet Reported'!E75, SUM(OFFSET('Interim Cash Flow Reported'!E8,0,-3,,4))/'Interim Balance Sheet Reported'!E75), IF(E3=DATE(Inputs!$E$17,Inputs!$E$15,Inputs!$E$16), AVERAGE('Annual Cash Flow Reported'!$E$8,'Annual Cash Flow Reported'!$F$8)/'Interim Balance Sheet Reported'!E75, SUM(OFFSET('Interim Cash Flow Reported'!E8,0,-1,,2))/'Interim Balance Sheet Reported'!E75)),"")</f>
        <v>0.21617379811663637</v>
      </c>
      <c r="F47" s="2">
        <f ca="1">IFERROR(IF(Inputs!$E$14 = "Quarterly", IF(YEAR(F3)=Inputs!$E$17, AVERAGE('Annual Cash Flow Reported'!$F$8,'Annual Cash Flow Reported'!$G$8)/'Interim Balance Sheet Reported'!F75, SUM(OFFSET('Interim Cash Flow Reported'!F8,0,-3,,4))/'Interim Balance Sheet Reported'!F75), IF(F3=DATE(Inputs!$E$17,Inputs!$E$15,Inputs!$E$16), AVERAGE('Annual Cash Flow Reported'!$E$8,'Annual Cash Flow Reported'!$F$8)/'Interim Balance Sheet Reported'!F75, SUM(OFFSET('Interim Cash Flow Reported'!F8,0,-1,,2))/'Interim Balance Sheet Reported'!F75)),"")</f>
        <v>0.28906502749919122</v>
      </c>
      <c r="G47" s="2">
        <f ca="1">IFERROR(IF(Inputs!$E$14 = "Quarterly", IF(YEAR(G3)=Inputs!$E$17, AVERAGE('Annual Cash Flow Reported'!$F$8,'Annual Cash Flow Reported'!$G$8)/'Interim Balance Sheet Reported'!G75, SUM(OFFSET('Interim Cash Flow Reported'!G8,0,-3,,4))/'Interim Balance Sheet Reported'!G75), IF(G3=DATE(Inputs!$E$17,Inputs!$E$15,Inputs!$E$16), AVERAGE('Annual Cash Flow Reported'!$E$8,'Annual Cash Flow Reported'!$F$8)/'Interim Balance Sheet Reported'!G75, SUM(OFFSET('Interim Cash Flow Reported'!G8,0,-1,,2))/'Interim Balance Sheet Reported'!G75)),"")</f>
        <v>0.2629136098218296</v>
      </c>
      <c r="H47" s="2">
        <f ca="1">IFERROR(IF(Inputs!$E$14 = "Quarterly", IF(YEAR(H3)=Inputs!$E$17, AVERAGE('Annual Cash Flow Reported'!$F$8,'Annual Cash Flow Reported'!$G$8)/'Interim Balance Sheet Reported'!H75, SUM(OFFSET('Interim Cash Flow Reported'!H8,0,-3,,4))/'Interim Balance Sheet Reported'!H75), IF(H3=DATE(Inputs!$E$17,Inputs!$E$15,Inputs!$E$16), AVERAGE('Annual Cash Flow Reported'!$E$8,'Annual Cash Flow Reported'!$F$8)/'Interim Balance Sheet Reported'!H75, SUM(OFFSET('Interim Cash Flow Reported'!H8,0,-1,,2))/'Interim Balance Sheet Reported'!H75)),"")</f>
        <v>0.29201268307413558</v>
      </c>
      <c r="I47" s="2">
        <f ca="1">IFERROR(IF(Inputs!$E$14 = "Quarterly", IF(YEAR(I3)=Inputs!$E$17, AVERAGE('Annual Cash Flow Reported'!$F$8,'Annual Cash Flow Reported'!$G$8)/'Interim Balance Sheet Reported'!I75, SUM(OFFSET('Interim Cash Flow Reported'!I8,0,-3,,4))/'Interim Balance Sheet Reported'!I75), IF(I3=DATE(Inputs!$E$17,Inputs!$E$15,Inputs!$E$16), AVERAGE('Annual Cash Flow Reported'!$E$8,'Annual Cash Flow Reported'!$F$8)/'Interim Balance Sheet Reported'!I75, SUM(OFFSET('Interim Cash Flow Reported'!I8,0,-1,,2))/'Interim Balance Sheet Reported'!I75)),"")</f>
        <v>0.30248799650807506</v>
      </c>
      <c r="J47" s="2">
        <f ca="1">IFERROR(IF(Inputs!$E$14 = "Quarterly", IF(YEAR(J3)=Inputs!$E$17, AVERAGE('Annual Cash Flow Reported'!$F$8,'Annual Cash Flow Reported'!$G$8)/'Interim Balance Sheet Reported'!J75, SUM(OFFSET('Interim Cash Flow Reported'!J8,0,-3,,4))/'Interim Balance Sheet Reported'!J75), IF(J3=DATE(Inputs!$E$17,Inputs!$E$15,Inputs!$E$16), AVERAGE('Annual Cash Flow Reported'!$E$8,'Annual Cash Flow Reported'!$F$8)/'Interim Balance Sheet Reported'!J75, SUM(OFFSET('Interim Cash Flow Reported'!J8,0,-1,,2))/'Interim Balance Sheet Reported'!J75)),"")</f>
        <v>0.30631188118811881</v>
      </c>
      <c r="K47" s="2">
        <f ca="1">IFERROR(IF(Inputs!$E$14 = "Quarterly", IF(YEAR(K3)=Inputs!$E$17, AVERAGE('Annual Cash Flow Reported'!$F$8,'Annual Cash Flow Reported'!$G$8)/'Interim Balance Sheet Reported'!K75, SUM(OFFSET('Interim Cash Flow Reported'!K8,0,-3,,4))/'Interim Balance Sheet Reported'!K75), IF(K3=DATE(Inputs!$E$17,Inputs!$E$15,Inputs!$E$16), AVERAGE('Annual Cash Flow Reported'!$E$8,'Annual Cash Flow Reported'!$F$8)/'Interim Balance Sheet Reported'!K75, SUM(OFFSET('Interim Cash Flow Reported'!K8,0,-1,,2))/'Interim Balance Sheet Reported'!K75)),"")</f>
        <v>0.34131248982250451</v>
      </c>
      <c r="L47" s="2">
        <f ca="1">IFERROR(IF(Inputs!$E$14 = "Quarterly", IF(YEAR(L3)=Inputs!$E$17, AVERAGE('Annual Cash Flow Reported'!$F$8,'Annual Cash Flow Reported'!$G$8)/'Interim Balance Sheet Reported'!L75, SUM(OFFSET('Interim Cash Flow Reported'!L8,0,-3,,4))/'Interim Balance Sheet Reported'!L75), IF(L3=DATE(Inputs!$E$17,Inputs!$E$15,Inputs!$E$16), AVERAGE('Annual Cash Flow Reported'!$E$8,'Annual Cash Flow Reported'!$F$8)/'Interim Balance Sheet Reported'!L75, SUM(OFFSET('Interim Cash Flow Reported'!L8,0,-1,,2))/'Interim Balance Sheet Reported'!L75)),"")</f>
        <v>0.38762559492332099</v>
      </c>
      <c r="M47" s="2">
        <f ca="1">IFERROR(IF(Inputs!$E$14 = "Quarterly", IF(YEAR(M3)=Inputs!$E$17, AVERAGE('Annual Cash Flow Reported'!$F$8,'Annual Cash Flow Reported'!$G$8)/'Interim Balance Sheet Reported'!M75, SUM(OFFSET('Interim Cash Flow Reported'!M8,0,-3,,4))/'Interim Balance Sheet Reported'!M75), IF(M3=DATE(Inputs!$E$17,Inputs!$E$15,Inputs!$E$16), AVERAGE('Annual Cash Flow Reported'!$E$8,'Annual Cash Flow Reported'!$F$8)/'Interim Balance Sheet Reported'!M75, SUM(OFFSET('Interim Cash Flow Reported'!M8,0,-1,,2))/'Interim Balance Sheet Reported'!M75)),"")</f>
        <v>0.46915695681973957</v>
      </c>
      <c r="N47" s="2">
        <f ca="1">IFERROR(IF(Inputs!$E$14 = "Quarterly", IF(YEAR(N3)=Inputs!$E$17, AVERAGE('Annual Cash Flow Reported'!$F$8,'Annual Cash Flow Reported'!$G$8)/'Interim Balance Sheet Reported'!N75, SUM(OFFSET('Interim Cash Flow Reported'!N8,0,-3,,4))/'Interim Balance Sheet Reported'!N75), IF(N3=DATE(Inputs!$E$17,Inputs!$E$15,Inputs!$E$16), AVERAGE('Annual Cash Flow Reported'!$E$8,'Annual Cash Flow Reported'!$F$8)/'Interim Balance Sheet Reported'!N75, SUM(OFFSET('Interim Cash Flow Reported'!N8,0,-1,,2))/'Interim Balance Sheet Reported'!N75)),"")</f>
        <v>0.49092166695486772</v>
      </c>
      <c r="O47" s="2">
        <f ca="1">IFERROR(IF(Inputs!$E$14 = "Quarterly", IF(YEAR(O3)=Inputs!$E$17, AVERAGE('Annual Cash Flow Reported'!$F$8,'Annual Cash Flow Reported'!$G$8)/'Interim Balance Sheet Reported'!O75, SUM(OFFSET('Interim Cash Flow Reported'!O8,0,-3,,4))/'Interim Balance Sheet Reported'!O75), IF(O3=DATE(Inputs!$E$17,Inputs!$E$15,Inputs!$E$16), AVERAGE('Annual Cash Flow Reported'!$E$8,'Annual Cash Flow Reported'!$F$8)/'Interim Balance Sheet Reported'!O75, SUM(OFFSET('Interim Cash Flow Reported'!O8,0,-1,,2))/'Interim Balance Sheet Reported'!O75)),"")</f>
        <v>0.48396501457725949</v>
      </c>
      <c r="P47" s="2">
        <f ca="1">IFERROR(IF(Inputs!$E$14 = "Quarterly", IF(YEAR(P3)=Inputs!$E$17, AVERAGE('Annual Cash Flow Reported'!$F$8,'Annual Cash Flow Reported'!$G$8)/'Interim Balance Sheet Reported'!P75, SUM(OFFSET('Interim Cash Flow Reported'!P8,0,-3,,4))/'Interim Balance Sheet Reported'!P75), IF(P3=DATE(Inputs!$E$17,Inputs!$E$15,Inputs!$E$16), AVERAGE('Annual Cash Flow Reported'!$E$8,'Annual Cash Flow Reported'!$F$8)/'Interim Balance Sheet Reported'!P75, SUM(OFFSET('Interim Cash Flow Reported'!P8,0,-1,,2))/'Interim Balance Sheet Reported'!P75)),"")</f>
        <v>0.53122070129383081</v>
      </c>
      <c r="Q47" s="2">
        <f ca="1">IFERROR(IF(Inputs!$E$14 = "Quarterly", IF(YEAR(Q3)=Inputs!$E$17, AVERAGE('Annual Cash Flow Reported'!$F$8,'Annual Cash Flow Reported'!$G$8)/'Interim Balance Sheet Reported'!Q75, SUM(OFFSET('Interim Cash Flow Reported'!Q8,0,-3,,4))/'Interim Balance Sheet Reported'!Q75), IF(Q3=DATE(Inputs!$E$17,Inputs!$E$15,Inputs!$E$16), AVERAGE('Annual Cash Flow Reported'!$E$8,'Annual Cash Flow Reported'!$F$8)/'Interim Balance Sheet Reported'!Q75, SUM(OFFSET('Interim Cash Flow Reported'!Q8,0,-1,,2))/'Interim Balance Sheet Reported'!Q75)),"")</f>
        <v>0.30486425339366519</v>
      </c>
      <c r="R47" s="2">
        <f ca="1">IFERROR(IF(Inputs!$E$14 = "Quarterly", IF(YEAR(R3)=Inputs!$E$17, AVERAGE('Annual Cash Flow Reported'!$F$8,'Annual Cash Flow Reported'!$G$8)/'Interim Balance Sheet Reported'!R75, SUM(OFFSET('Interim Cash Flow Reported'!R8,0,-3,,4))/'Interim Balance Sheet Reported'!R75), IF(R3=DATE(Inputs!$E$17,Inputs!$E$15,Inputs!$E$16), AVERAGE('Annual Cash Flow Reported'!$E$8,'Annual Cash Flow Reported'!$F$8)/'Interim Balance Sheet Reported'!R75, SUM(OFFSET('Interim Cash Flow Reported'!R8,0,-1,,2))/'Interim Balance Sheet Reported'!R75)),"")</f>
        <v>1.2</v>
      </c>
      <c r="S47" s="2">
        <f ca="1">IFERROR(IF(Inputs!$E$14 = "Quarterly", IF(YEAR(S3)=Inputs!$E$17, AVERAGE('Annual Cash Flow Reported'!$F$8,'Annual Cash Flow Reported'!$G$8)/'Interim Balance Sheet Reported'!S75, SUM(OFFSET('Interim Cash Flow Reported'!S8,0,-3,,4))/'Interim Balance Sheet Reported'!S75), IF(S3=DATE(Inputs!$E$17,Inputs!$E$15,Inputs!$E$16), AVERAGE('Annual Cash Flow Reported'!$E$8,'Annual Cash Flow Reported'!$F$8)/'Interim Balance Sheet Reported'!S75, SUM(OFFSET('Interim Cash Flow Reported'!S8,0,-1,,2))/'Interim Balance Sheet Reported'!S75)),"")</f>
        <v>1.411614730878187</v>
      </c>
      <c r="T47" s="2">
        <f ca="1">IFERROR(IF(Inputs!$E$14 = "Quarterly", IF(YEAR(T3)=Inputs!$E$17, AVERAGE('Annual Cash Flow Reported'!$F$8,'Annual Cash Flow Reported'!$G$8)/'Interim Balance Sheet Reported'!T75, SUM(OFFSET('Interim Cash Flow Reported'!T8,0,-3,,4))/'Interim Balance Sheet Reported'!T75), IF(T3=DATE(Inputs!$E$17,Inputs!$E$15,Inputs!$E$16), AVERAGE('Annual Cash Flow Reported'!$E$8,'Annual Cash Flow Reported'!$F$8)/'Interim Balance Sheet Reported'!T75, SUM(OFFSET('Interim Cash Flow Reported'!T8,0,-1,,2))/'Interim Balance Sheet Reported'!T75)),"")</f>
        <v>1.4883987396161558</v>
      </c>
      <c r="U47" s="2">
        <f ca="1">IFERROR(IF(Inputs!$E$14 = "Quarterly", IF(YEAR(U3)=Inputs!$E$17, AVERAGE('Annual Cash Flow Reported'!$F$8,'Annual Cash Flow Reported'!$G$8)/'Interim Balance Sheet Reported'!U75, SUM(OFFSET('Interim Cash Flow Reported'!U8,0,-3,,4))/'Interim Balance Sheet Reported'!U75), IF(U3=DATE(Inputs!$E$17,Inputs!$E$15,Inputs!$E$16), AVERAGE('Annual Cash Flow Reported'!$E$8,'Annual Cash Flow Reported'!$F$8)/'Interim Balance Sheet Reported'!U75, SUM(OFFSET('Interim Cash Flow Reported'!U8,0,-1,,2))/'Interim Balance Sheet Reported'!U75)),"")</f>
        <v>1.7035490605427974</v>
      </c>
      <c r="V47" s="2">
        <f ca="1">IFERROR(IF(Inputs!$E$14 = "Quarterly", IF(YEAR(V3)=Inputs!$E$17, AVERAGE('Annual Cash Flow Reported'!$F$8,'Annual Cash Flow Reported'!$G$8)/'Interim Balance Sheet Reported'!V75, SUM(OFFSET('Interim Cash Flow Reported'!V8,0,-3,,4))/'Interim Balance Sheet Reported'!V75), IF(V3=DATE(Inputs!$E$17,Inputs!$E$15,Inputs!$E$16), AVERAGE('Annual Cash Flow Reported'!$E$8,'Annual Cash Flow Reported'!$F$8)/'Interim Balance Sheet Reported'!V75, SUM(OFFSET('Interim Cash Flow Reported'!V8,0,-1,,2))/'Interim Balance Sheet Reported'!V75)),"")</f>
        <v>0.79233296823658272</v>
      </c>
      <c r="W47" s="2">
        <f ca="1">IFERROR(IF(Inputs!$E$14 = "Quarterly", IF(YEAR(W3)=Inputs!$E$17, AVERAGE('Annual Cash Flow Reported'!$F$8,'Annual Cash Flow Reported'!$G$8)/'Interim Balance Sheet Reported'!W75, SUM(OFFSET('Interim Cash Flow Reported'!W8,0,-3,,4))/'Interim Balance Sheet Reported'!W75), IF(W3=DATE(Inputs!$E$17,Inputs!$E$15,Inputs!$E$16), AVERAGE('Annual Cash Flow Reported'!$E$8,'Annual Cash Flow Reported'!$F$8)/'Interim Balance Sheet Reported'!W75, SUM(OFFSET('Interim Cash Flow Reported'!W8,0,-1,,2))/'Interim Balance Sheet Reported'!W75)),"")</f>
        <v>0.40634920634920635</v>
      </c>
      <c r="X47" s="2">
        <f ca="1">IFERROR(IF(Inputs!$E$14 = "Quarterly", IF(YEAR(X3)=Inputs!$E$17, AVERAGE('Annual Cash Flow Reported'!$F$8,'Annual Cash Flow Reported'!$G$8)/'Interim Balance Sheet Reported'!X75, SUM(OFFSET('Interim Cash Flow Reported'!X8,0,-3,,4))/'Interim Balance Sheet Reported'!X75), IF(X3=DATE(Inputs!$E$17,Inputs!$E$15,Inputs!$E$16), AVERAGE('Annual Cash Flow Reported'!$E$8,'Annual Cash Flow Reported'!$F$8)/'Interim Balance Sheet Reported'!X75, SUM(OFFSET('Interim Cash Flow Reported'!X8,0,-1,,2))/'Interim Balance Sheet Reported'!X75)),"")</f>
        <v>9.6528680155930947E-3</v>
      </c>
      <c r="Y47" s="2">
        <f ca="1">IFERROR(IF(Inputs!$E$14 = "Quarterly", IF(YEAR(Y3)=Inputs!$E$17, AVERAGE('Annual Cash Flow Reported'!$F$8,'Annual Cash Flow Reported'!$G$8)/'Interim Balance Sheet Reported'!Y75, SUM(OFFSET('Interim Cash Flow Reported'!Y8,0,-3,,4))/'Interim Balance Sheet Reported'!Y75), IF(Y3=DATE(Inputs!$E$17,Inputs!$E$15,Inputs!$E$16), AVERAGE('Annual Cash Flow Reported'!$E$8,'Annual Cash Flow Reported'!$F$8)/'Interim Balance Sheet Reported'!Y75, SUM(OFFSET('Interim Cash Flow Reported'!Y8,0,-1,,2))/'Interim Balance Sheet Reported'!Y75)),"")</f>
        <v>-0.42875364431486879</v>
      </c>
      <c r="Z47" s="2">
        <f ca="1">IFERROR(IF(Inputs!$E$14 = "Quarterly", IF(YEAR(Z3)=Inputs!$E$17, AVERAGE('Annual Cash Flow Reported'!$F$8,'Annual Cash Flow Reported'!$G$8)/'Interim Balance Sheet Reported'!Z75, SUM(OFFSET('Interim Cash Flow Reported'!Z8,0,-3,,4))/'Interim Balance Sheet Reported'!Z75), IF(Z3=DATE(Inputs!$E$17,Inputs!$E$15,Inputs!$E$16), AVERAGE('Annual Cash Flow Reported'!$E$8,'Annual Cash Flow Reported'!$F$8)/'Interim Balance Sheet Reported'!Z75, SUM(OFFSET('Interim Cash Flow Reported'!Z8,0,-1,,2))/'Interim Balance Sheet Reported'!Z75)),"")</f>
        <v>-0.48931151407931595</v>
      </c>
      <c r="AA47" s="2">
        <f ca="1">IFERROR(IF(Inputs!$E$14 = "Quarterly", IF(YEAR(AA3)=Inputs!$E$17, AVERAGE('Annual Cash Flow Reported'!$F$8,'Annual Cash Flow Reported'!$G$8)/'Interim Balance Sheet Reported'!AA75, SUM(OFFSET('Interim Cash Flow Reported'!AA8,0,-3,,4))/'Interim Balance Sheet Reported'!AA75), IF(AA3=DATE(Inputs!$E$17,Inputs!$E$15,Inputs!$E$16), AVERAGE('Annual Cash Flow Reported'!$E$8,'Annual Cash Flow Reported'!$F$8)/'Interim Balance Sheet Reported'!AA75, SUM(OFFSET('Interim Cash Flow Reported'!AA8,0,-1,,2))/'Interim Balance Sheet Reported'!AA75)),"")</f>
        <v>-0.52201750947340908</v>
      </c>
      <c r="AB47" s="2">
        <f ca="1">IFERROR(IF(Inputs!$E$14 = "Quarterly", IF(YEAR(AB3)=Inputs!$E$17, AVERAGE('Annual Cash Flow Reported'!$F$8,'Annual Cash Flow Reported'!$G$8)/'Interim Balance Sheet Reported'!AB75, SUM(OFFSET('Interim Cash Flow Reported'!AB8,0,-3,,4))/'Interim Balance Sheet Reported'!AB75), IF(AB3=DATE(Inputs!$E$17,Inputs!$E$15,Inputs!$E$16), AVERAGE('Annual Cash Flow Reported'!$E$8,'Annual Cash Flow Reported'!$F$8)/'Interim Balance Sheet Reported'!AB75, SUM(OFFSET('Interim Cash Flow Reported'!AB8,0,-1,,2))/'Interim Balance Sheet Reported'!AB75)),"")</f>
        <v>-0.39310776942355891</v>
      </c>
    </row>
    <row r="48" spans="1:28" x14ac:dyDescent="0.3">
      <c r="A48" s="85" t="s">
        <v>221</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row>
    <row r="49" spans="1:28" x14ac:dyDescent="0.3">
      <c r="A49" s="85" t="s">
        <v>222</v>
      </c>
      <c r="B49" s="46">
        <f>IFERROR(B13/'Interim Inc Statement Reported'!D90,"")</f>
        <v>-9.8023255813953494</v>
      </c>
      <c r="C49" s="46">
        <f>IFERROR(C13/'Interim Inc Statement Reported'!E90,"")</f>
        <v>-6.481012658227848</v>
      </c>
      <c r="D49" s="46">
        <f>IFERROR(D13/'Interim Inc Statement Reported'!F90,"")</f>
        <v>-6.1917808219178081</v>
      </c>
      <c r="E49" s="46">
        <f>IFERROR(E13/'Interim Inc Statement Reported'!G90,"")</f>
        <v>0.17857142857142858</v>
      </c>
      <c r="F49" s="46">
        <f>IFERROR(F13/'Interim Inc Statement Reported'!H90,"")</f>
        <v>-3.3176470588235296</v>
      </c>
      <c r="G49" s="46">
        <f>IFERROR(G13/'Interim Inc Statement Reported'!I90,"")</f>
        <v>-8.878378378378379</v>
      </c>
      <c r="H49" s="46">
        <f>IFERROR(H13/'Interim Inc Statement Reported'!J90,"")</f>
        <v>-6.2571428571428571</v>
      </c>
      <c r="I49" s="46">
        <f>IFERROR(I13/'Interim Inc Statement Reported'!K90,"")</f>
        <v>-9.887323943661972</v>
      </c>
      <c r="J49" s="46" t="str">
        <f>IFERROR(J13/'Interim Inc Statement Reported'!#REF!,"")</f>
        <v/>
      </c>
      <c r="K49" s="46">
        <f>IFERROR(K13/'Interim Inc Statement Reported'!L90,"")</f>
        <v>-12.953125</v>
      </c>
      <c r="L49" s="46">
        <f>IFERROR(L13/'Interim Inc Statement Reported'!M90,"")</f>
        <v>-7.0428571428571427</v>
      </c>
      <c r="M49" s="46">
        <f>IFERROR(M13/'Interim Inc Statement Reported'!N90,"")</f>
        <v>-5.5571428571428569</v>
      </c>
      <c r="N49" s="46" t="str">
        <f>IFERROR(N13/'Interim Inc Statement Reported'!#REF!,"")</f>
        <v/>
      </c>
      <c r="O49" s="46">
        <f>IFERROR(O13/'Interim Inc Statement Reported'!P90,"")</f>
        <v>-11.684931506849315</v>
      </c>
      <c r="P49" s="46">
        <f>IFERROR(P13/'Interim Inc Statement Reported'!Q90,"")</f>
        <v>-4.8815789473684212</v>
      </c>
      <c r="Q49" s="46">
        <f>IFERROR(Q13/'Interim Inc Statement Reported'!R90,"")</f>
        <v>-2.88</v>
      </c>
      <c r="R49" s="46" t="str">
        <f>IFERROR(R13/'Interim Inc Statement Reported'!#REF!,"")</f>
        <v/>
      </c>
      <c r="S49" s="46">
        <f>IFERROR(S13/'Interim Inc Statement Reported'!T90,"")</f>
        <v>-9.0833333333333339</v>
      </c>
      <c r="T49" s="46">
        <f>IFERROR(T13/'Interim Inc Statement Reported'!V90,"")</f>
        <v>-6.8925619834710741</v>
      </c>
      <c r="U49" s="46">
        <f>IFERROR(U13/'Interim Inc Statement Reported'!W90,"")</f>
        <v>-4.7342657342657342</v>
      </c>
      <c r="V49" s="46">
        <f>IFERROR(V13/'Interim Inc Statement Reported'!X90,"")</f>
        <v>0.10204081632653061</v>
      </c>
      <c r="W49" s="46">
        <f>IFERROR(W13/'Interim Inc Statement Reported'!Y90,"")</f>
        <v>6.3826530612244898</v>
      </c>
      <c r="X49" s="46">
        <f>IFERROR(X13/'Interim Inc Statement Reported'!Z90,"")</f>
        <v>1.653179190751445</v>
      </c>
      <c r="Y49" s="46">
        <f>IFERROR(Y13/'Interim Inc Statement Reported'!AA90,"")</f>
        <v>5.0062893081761004</v>
      </c>
      <c r="Z49" s="46">
        <f>IFERROR(Z13/'Interim Inc Statement Reported'!AB90,"")</f>
        <v>4.0777202072538863</v>
      </c>
      <c r="AA49" s="46" t="str">
        <f>IFERROR(AA13/'Interim Inc Statement Reported'!AC90,"")</f>
        <v/>
      </c>
      <c r="AB49" s="46" t="str">
        <f>IFERROR(AB13/'Interim Inc Statement Reported'!AD90,"")</f>
        <v/>
      </c>
    </row>
    <row r="50" spans="1:28" x14ac:dyDescent="0.3">
      <c r="A50" s="85" t="s">
        <v>223</v>
      </c>
      <c r="B50" s="2"/>
      <c r="C50" s="2"/>
      <c r="D50" s="2"/>
      <c r="E50" s="2"/>
      <c r="F50" s="2"/>
      <c r="G50" s="2"/>
      <c r="H50" s="2"/>
      <c r="I50" s="2"/>
      <c r="J50" s="2"/>
      <c r="K50" s="2"/>
      <c r="L50" s="2"/>
      <c r="M50" s="2"/>
      <c r="N50" s="2"/>
      <c r="O50" s="2"/>
      <c r="P50" s="2"/>
      <c r="Q50" s="2"/>
      <c r="R50" s="2"/>
      <c r="S50" s="2"/>
      <c r="T50" s="2"/>
      <c r="U50" s="2"/>
      <c r="V50" s="2"/>
      <c r="W50" s="2"/>
      <c r="X50" s="2"/>
      <c r="Y50" s="2"/>
      <c r="Z50" s="2"/>
      <c r="AA50" s="2"/>
      <c r="AB50" s="2"/>
    </row>
    <row r="51" spans="1:28" x14ac:dyDescent="0.3">
      <c r="A51" s="85" t="s">
        <v>224</v>
      </c>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1:28" x14ac:dyDescent="0.3">
      <c r="A52" s="85" t="s">
        <v>225</v>
      </c>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1:28" x14ac:dyDescent="0.3">
      <c r="A53" s="85" t="s">
        <v>302</v>
      </c>
      <c r="B53" s="2"/>
      <c r="C53" s="2"/>
      <c r="D53" s="2"/>
      <c r="E53" s="2"/>
      <c r="F53" s="2"/>
      <c r="G53" s="2"/>
      <c r="H53" s="2"/>
      <c r="I53" s="2"/>
      <c r="J53" s="2"/>
      <c r="K53" s="2"/>
      <c r="L53" s="2"/>
      <c r="M53" s="2"/>
      <c r="N53" s="2"/>
      <c r="O53" s="2"/>
      <c r="P53" s="2"/>
      <c r="Q53" s="2"/>
      <c r="R53" s="2"/>
      <c r="S53" s="2"/>
      <c r="T53" s="2"/>
      <c r="U53" s="2"/>
      <c r="V53" s="2"/>
      <c r="W53" s="2"/>
      <c r="X53" s="2"/>
      <c r="Y53" s="2"/>
      <c r="Z53" s="2"/>
      <c r="AA53" s="2"/>
      <c r="AB53" s="2"/>
    </row>
    <row r="54" spans="1:28" x14ac:dyDescent="0.3">
      <c r="A54" s="8" t="s">
        <v>292</v>
      </c>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1:28" x14ac:dyDescent="0.3">
      <c r="A55" s="85"/>
      <c r="B55" s="2"/>
      <c r="C55" s="2"/>
      <c r="D55" s="2"/>
      <c r="E55" s="2"/>
      <c r="F55" s="2"/>
      <c r="G55" s="2"/>
      <c r="H55" s="2"/>
      <c r="I55" s="2"/>
      <c r="J55" s="2"/>
      <c r="K55" s="2"/>
      <c r="L55" s="2"/>
      <c r="M55" s="2"/>
      <c r="N55" s="2"/>
      <c r="O55" s="2"/>
      <c r="P55" s="2"/>
      <c r="Q55" s="2"/>
      <c r="R55" s="2"/>
      <c r="S55" s="2"/>
      <c r="T55" s="2"/>
      <c r="U55" s="2"/>
      <c r="V55" s="2"/>
      <c r="W55" s="2"/>
      <c r="X55" s="2"/>
      <c r="Y55" s="2"/>
      <c r="Z55" s="2"/>
      <c r="AA55" s="2"/>
      <c r="AB55" s="2"/>
    </row>
    <row r="56" spans="1:28" x14ac:dyDescent="0.3">
      <c r="A56" s="14" t="s">
        <v>300</v>
      </c>
      <c r="B56" s="21">
        <f>B13-'Interim Inc Statement Reported'!B27</f>
        <v>925</v>
      </c>
      <c r="C56" s="21">
        <f>C13-'Interim Inc Statement Reported'!C27</f>
        <v>596</v>
      </c>
      <c r="D56" s="21">
        <f>D13-'Interim Inc Statement Reported'!D27</f>
        <v>541</v>
      </c>
      <c r="E56" s="21">
        <f>E13-'Interim Inc Statement Reported'!E27</f>
        <v>83</v>
      </c>
      <c r="F56" s="21">
        <f>F13-'Interim Inc Statement Reported'!F27</f>
        <v>394</v>
      </c>
      <c r="G56" s="21">
        <f>G13-'Interim Inc Statement Reported'!G27</f>
        <v>769</v>
      </c>
      <c r="H56" s="21">
        <f>H13-'Interim Inc Statement Reported'!H27</f>
        <v>556</v>
      </c>
      <c r="I56" s="21">
        <f>I13-'Interim Inc Statement Reported'!I27</f>
        <v>822</v>
      </c>
      <c r="J56" s="21">
        <f>J13-'Interim Inc Statement Reported'!J27</f>
        <v>1149</v>
      </c>
      <c r="K56" s="21">
        <f>K13-'Interim Inc Statement Reported'!K27</f>
        <v>959</v>
      </c>
      <c r="L56" s="21">
        <f>L13-'Interim Inc Statement Reported'!L27</f>
        <v>618</v>
      </c>
      <c r="M56" s="21">
        <f>M13-'Interim Inc Statement Reported'!M27</f>
        <v>515</v>
      </c>
      <c r="N56" s="21">
        <f>N13-'Interim Inc Statement Reported'!N27</f>
        <v>1236</v>
      </c>
      <c r="O56" s="21">
        <f>O13-'Interim Inc Statement Reported'!O27</f>
        <v>976</v>
      </c>
      <c r="P56" s="21">
        <f>P13-'Interim Inc Statement Reported'!P27</f>
        <v>508</v>
      </c>
      <c r="Q56" s="21">
        <f>Q13-'Interim Inc Statement Reported'!Q27</f>
        <v>493</v>
      </c>
      <c r="R56" s="21">
        <f>R13-'Interim Inc Statement Reported'!R27</f>
        <v>3111</v>
      </c>
      <c r="S56" s="21">
        <f>S13-'Interim Inc Statement Reported'!S27</f>
        <v>1090</v>
      </c>
      <c r="T56" s="21">
        <f>T13-'Interim Inc Statement Reported'!T27</f>
        <v>834</v>
      </c>
      <c r="U56" s="21">
        <f>U13-'Interim Inc Statement Reported'!U27</f>
        <v>677</v>
      </c>
      <c r="V56" s="21">
        <f>V13-'Interim Inc Statement Reported'!V27</f>
        <v>-20</v>
      </c>
      <c r="W56" s="21">
        <f>W13-'Interim Inc Statement Reported'!W27</f>
        <v>-1251</v>
      </c>
      <c r="X56" s="21">
        <f>X13-'Interim Inc Statement Reported'!X27</f>
        <v>-286</v>
      </c>
      <c r="Y56" s="21">
        <f>Y13-'Interim Inc Statement Reported'!Y27</f>
        <v>-796</v>
      </c>
      <c r="Z56" s="21">
        <f>Z13-'Interim Inc Statement Reported'!Z27</f>
        <v>-787</v>
      </c>
      <c r="AA56" s="21">
        <f>AA13-'Interim Inc Statement Reported'!AA27</f>
        <v>-1227</v>
      </c>
      <c r="AB56" s="21">
        <f>AB13-'Interim Inc Statement Reported'!AB27</f>
        <v>405</v>
      </c>
    </row>
    <row r="57" spans="1:28" x14ac:dyDescent="0.3">
      <c r="A57" s="85" t="s">
        <v>293</v>
      </c>
      <c r="B57" s="45">
        <f>MAX(0,-B14-B15-B25)</f>
        <v>142</v>
      </c>
      <c r="C57" s="45">
        <f t="shared" ref="C57:H57" si="42">MAX(0,-C14-C15-C25)</f>
        <v>194</v>
      </c>
      <c r="D57" s="45">
        <f t="shared" si="42"/>
        <v>257</v>
      </c>
      <c r="E57" s="45">
        <f t="shared" si="42"/>
        <v>294</v>
      </c>
      <c r="F57" s="45">
        <f t="shared" si="42"/>
        <v>356</v>
      </c>
      <c r="G57" s="45">
        <f t="shared" si="42"/>
        <v>610</v>
      </c>
      <c r="H57" s="45">
        <f t="shared" si="42"/>
        <v>68</v>
      </c>
      <c r="I57" s="45">
        <f>MAX(0,-I14-I15-I25)</f>
        <v>0</v>
      </c>
      <c r="J57" s="45">
        <f>MAX(0,-J14-J25)</f>
        <v>555</v>
      </c>
      <c r="K57" s="45">
        <f>MAX(0,-K14-K25)</f>
        <v>524</v>
      </c>
      <c r="L57" s="45">
        <f t="shared" ref="L57:O57" si="43">MAX(0,-L14-L25)</f>
        <v>169</v>
      </c>
      <c r="M57" s="45">
        <f t="shared" si="43"/>
        <v>441</v>
      </c>
      <c r="N57" s="45">
        <f t="shared" si="43"/>
        <v>229</v>
      </c>
      <c r="O57" s="45">
        <f t="shared" si="43"/>
        <v>345</v>
      </c>
      <c r="P57" s="45">
        <f t="shared" ref="P57:T57" si="44">MAX(0,-P14-P25)</f>
        <v>194</v>
      </c>
      <c r="Q57" s="45">
        <f t="shared" si="44"/>
        <v>219</v>
      </c>
      <c r="R57" s="45">
        <f t="shared" si="44"/>
        <v>920</v>
      </c>
      <c r="S57" s="45">
        <f t="shared" si="44"/>
        <v>553</v>
      </c>
      <c r="T57" s="45">
        <f t="shared" si="44"/>
        <v>301</v>
      </c>
      <c r="U57" s="45">
        <f t="shared" ref="U57:Y57" si="45">MAX(0,-U14-U25)</f>
        <v>251</v>
      </c>
      <c r="V57" s="45">
        <f t="shared" si="45"/>
        <v>0</v>
      </c>
      <c r="W57" s="45">
        <f t="shared" si="45"/>
        <v>0</v>
      </c>
      <c r="X57" s="45">
        <f t="shared" si="45"/>
        <v>0</v>
      </c>
      <c r="Y57" s="45">
        <f t="shared" si="45"/>
        <v>159</v>
      </c>
      <c r="Z57" s="45">
        <f t="shared" ref="Z57:AB57" si="46">MAX(0,-Z14-Z25)</f>
        <v>152</v>
      </c>
      <c r="AA57" s="45">
        <f t="shared" si="46"/>
        <v>0</v>
      </c>
      <c r="AB57" s="45">
        <f t="shared" si="46"/>
        <v>0</v>
      </c>
    </row>
    <row r="58" spans="1:28" s="44" customFormat="1" x14ac:dyDescent="0.3">
      <c r="A58" s="42" t="s">
        <v>294</v>
      </c>
      <c r="B58" s="43">
        <f>B56-B57</f>
        <v>783</v>
      </c>
      <c r="C58" s="43">
        <f t="shared" ref="C58:H58" si="47">C56-C57</f>
        <v>402</v>
      </c>
      <c r="D58" s="43">
        <f t="shared" si="47"/>
        <v>284</v>
      </c>
      <c r="E58" s="43">
        <f t="shared" si="47"/>
        <v>-211</v>
      </c>
      <c r="F58" s="43">
        <f t="shared" si="47"/>
        <v>38</v>
      </c>
      <c r="G58" s="43">
        <f t="shared" si="47"/>
        <v>159</v>
      </c>
      <c r="H58" s="43">
        <f t="shared" si="47"/>
        <v>488</v>
      </c>
      <c r="I58" s="43">
        <f>I56-I57</f>
        <v>822</v>
      </c>
      <c r="J58" s="43">
        <f>J56+J57</f>
        <v>1704</v>
      </c>
      <c r="K58" s="43">
        <f>K56+K57</f>
        <v>1483</v>
      </c>
      <c r="L58" s="43">
        <f t="shared" ref="L58:O58" si="48">L56+L57</f>
        <v>787</v>
      </c>
      <c r="M58" s="43">
        <f t="shared" si="48"/>
        <v>956</v>
      </c>
      <c r="N58" s="43">
        <f t="shared" si="48"/>
        <v>1465</v>
      </c>
      <c r="O58" s="43">
        <f t="shared" si="48"/>
        <v>1321</v>
      </c>
      <c r="P58" s="43">
        <f t="shared" ref="P58:T58" si="49">P56+P57</f>
        <v>702</v>
      </c>
      <c r="Q58" s="43">
        <f t="shared" si="49"/>
        <v>712</v>
      </c>
      <c r="R58" s="43">
        <f t="shared" si="49"/>
        <v>4031</v>
      </c>
      <c r="S58" s="43">
        <f t="shared" si="49"/>
        <v>1643</v>
      </c>
      <c r="T58" s="43">
        <f t="shared" si="49"/>
        <v>1135</v>
      </c>
      <c r="U58" s="43">
        <f t="shared" ref="U58:Y58" si="50">U56+U57</f>
        <v>928</v>
      </c>
      <c r="V58" s="43">
        <f t="shared" si="50"/>
        <v>-20</v>
      </c>
      <c r="W58" s="43">
        <f t="shared" si="50"/>
        <v>-1251</v>
      </c>
      <c r="X58" s="43">
        <f t="shared" si="50"/>
        <v>-286</v>
      </c>
      <c r="Y58" s="43">
        <f t="shared" si="50"/>
        <v>-637</v>
      </c>
      <c r="Z58" s="43">
        <f t="shared" ref="Z58:AB58" si="51">Z56+Z57</f>
        <v>-635</v>
      </c>
      <c r="AA58" s="43">
        <f t="shared" si="51"/>
        <v>-1227</v>
      </c>
      <c r="AB58" s="43">
        <f t="shared" si="51"/>
        <v>405</v>
      </c>
    </row>
    <row r="59" spans="1:28" x14ac:dyDescent="0.3">
      <c r="A59" s="85"/>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row>
    <row r="60" spans="1:28" x14ac:dyDescent="0.3">
      <c r="A60" s="42" t="s">
        <v>299</v>
      </c>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row>
    <row r="61" spans="1:28" x14ac:dyDescent="0.3">
      <c r="A61" s="85" t="s">
        <v>295</v>
      </c>
      <c r="B61" s="21">
        <f>-'Interim Inc Statement Reported'!B27</f>
        <v>82</v>
      </c>
      <c r="C61" s="21">
        <f>-'Interim Inc Statement Reported'!C27</f>
        <v>84</v>
      </c>
      <c r="D61" s="21">
        <f>-'Interim Inc Statement Reported'!D27</f>
        <v>89</v>
      </c>
      <c r="E61" s="21">
        <f>-'Interim Inc Statement Reported'!E27</f>
        <v>98</v>
      </c>
      <c r="F61" s="21">
        <f>-'Interim Inc Statement Reported'!F27</f>
        <v>112</v>
      </c>
      <c r="G61" s="21">
        <f>-'Interim Inc Statement Reported'!G27</f>
        <v>112</v>
      </c>
      <c r="H61" s="21">
        <f>-'Interim Inc Statement Reported'!H27</f>
        <v>118</v>
      </c>
      <c r="I61" s="21">
        <f>-'Interim Inc Statement Reported'!I27</f>
        <v>120</v>
      </c>
      <c r="J61" s="21">
        <f>-'Interim Inc Statement Reported'!J27</f>
        <v>122</v>
      </c>
      <c r="K61" s="21">
        <f>-'Interim Inc Statement Reported'!K27</f>
        <v>130</v>
      </c>
      <c r="L61" s="21">
        <f>-'Interim Inc Statement Reported'!L27</f>
        <v>125</v>
      </c>
      <c r="M61" s="21">
        <f>-'Interim Inc Statement Reported'!M27</f>
        <v>126</v>
      </c>
      <c r="N61" s="21">
        <f>-'Interim Inc Statement Reported'!N27</f>
        <v>125</v>
      </c>
      <c r="O61" s="21">
        <f>-'Interim Inc Statement Reported'!O27</f>
        <v>123</v>
      </c>
      <c r="P61" s="21">
        <f>-'Interim Inc Statement Reported'!P27</f>
        <v>137</v>
      </c>
      <c r="Q61" s="21">
        <f>-'Interim Inc Statement Reported'!Q27</f>
        <v>133</v>
      </c>
      <c r="R61" s="21">
        <f>-'Interim Inc Statement Reported'!R27</f>
        <v>0</v>
      </c>
      <c r="S61" s="21">
        <f>-'Interim Inc Statement Reported'!S27</f>
        <v>0</v>
      </c>
      <c r="T61" s="21">
        <f>-'Interim Inc Statement Reported'!T27</f>
        <v>0</v>
      </c>
      <c r="U61" s="21">
        <f>-'Interim Inc Statement Reported'!U27</f>
        <v>0</v>
      </c>
      <c r="V61" s="21">
        <f>-'Interim Inc Statement Reported'!V27</f>
        <v>0</v>
      </c>
      <c r="W61" s="21">
        <f>-'Interim Inc Statement Reported'!W27</f>
        <v>0</v>
      </c>
      <c r="X61" s="21">
        <f>-'Interim Inc Statement Reported'!X27</f>
        <v>0</v>
      </c>
      <c r="Y61" s="21">
        <f>-'Interim Inc Statement Reported'!Y27</f>
        <v>0</v>
      </c>
      <c r="Z61" s="21">
        <f>-'Interim Inc Statement Reported'!Z27</f>
        <v>0</v>
      </c>
      <c r="AA61" s="21">
        <f>-'Interim Inc Statement Reported'!AA27</f>
        <v>0</v>
      </c>
      <c r="AB61" s="21">
        <f>-'Interim Inc Statement Reported'!AB27</f>
        <v>0</v>
      </c>
    </row>
    <row r="62" spans="1:28" x14ac:dyDescent="0.3">
      <c r="A62" s="85" t="s">
        <v>296</v>
      </c>
      <c r="B62" s="45">
        <f>-B27</f>
        <v>115</v>
      </c>
      <c r="C62" s="45">
        <f t="shared" ref="C62:H62" si="52">-C27</f>
        <v>147</v>
      </c>
      <c r="D62" s="45">
        <f t="shared" si="52"/>
        <v>124</v>
      </c>
      <c r="E62" s="45">
        <f t="shared" si="52"/>
        <v>321</v>
      </c>
      <c r="F62" s="45">
        <f t="shared" si="52"/>
        <v>230</v>
      </c>
      <c r="G62" s="45">
        <f t="shared" si="52"/>
        <v>157</v>
      </c>
      <c r="H62" s="45">
        <f t="shared" si="52"/>
        <v>80</v>
      </c>
      <c r="I62" s="45">
        <f>-I27</f>
        <v>1808</v>
      </c>
      <c r="J62" s="45">
        <f>-J27</f>
        <v>152</v>
      </c>
      <c r="K62" s="45">
        <f>-K27</f>
        <v>219</v>
      </c>
      <c r="L62" s="45">
        <f t="shared" ref="L62:O62" si="53">-L27</f>
        <v>203</v>
      </c>
      <c r="M62" s="45">
        <f t="shared" si="53"/>
        <v>240</v>
      </c>
      <c r="N62" s="45">
        <f t="shared" si="53"/>
        <v>226</v>
      </c>
      <c r="O62" s="45">
        <f t="shared" si="53"/>
        <v>358</v>
      </c>
      <c r="P62" s="45">
        <f t="shared" ref="P62:T62" si="54">-P27</f>
        <v>225</v>
      </c>
      <c r="Q62" s="45">
        <f t="shared" si="54"/>
        <v>361</v>
      </c>
      <c r="R62" s="45">
        <f t="shared" si="54"/>
        <v>252</v>
      </c>
      <c r="S62" s="45">
        <f t="shared" si="54"/>
        <v>280</v>
      </c>
      <c r="T62" s="45">
        <f t="shared" si="54"/>
        <v>276</v>
      </c>
      <c r="U62" s="45">
        <f t="shared" ref="U62:Y62" si="55">-U27</f>
        <v>276</v>
      </c>
      <c r="V62" s="45">
        <f t="shared" si="55"/>
        <v>509</v>
      </c>
      <c r="W62" s="45">
        <f t="shared" si="55"/>
        <v>269</v>
      </c>
      <c r="X62" s="45">
        <f t="shared" si="55"/>
        <v>1433</v>
      </c>
      <c r="Y62" s="45">
        <f t="shared" si="55"/>
        <v>508</v>
      </c>
      <c r="Z62" s="45">
        <f t="shared" ref="Z62:AB62" si="56">-Z27</f>
        <v>404</v>
      </c>
      <c r="AA62" s="45">
        <f t="shared" si="56"/>
        <v>877</v>
      </c>
      <c r="AB62" s="45">
        <f t="shared" si="56"/>
        <v>2953</v>
      </c>
    </row>
    <row r="63" spans="1:28" s="44" customFormat="1" x14ac:dyDescent="0.3">
      <c r="A63" s="42" t="s">
        <v>297</v>
      </c>
      <c r="B63" s="43">
        <f>B61+B62</f>
        <v>197</v>
      </c>
      <c r="C63" s="43">
        <f t="shared" ref="C63:H63" si="57">C61+C62</f>
        <v>231</v>
      </c>
      <c r="D63" s="43">
        <f t="shared" si="57"/>
        <v>213</v>
      </c>
      <c r="E63" s="43">
        <f t="shared" si="57"/>
        <v>419</v>
      </c>
      <c r="F63" s="43">
        <f t="shared" si="57"/>
        <v>342</v>
      </c>
      <c r="G63" s="43">
        <f t="shared" si="57"/>
        <v>269</v>
      </c>
      <c r="H63" s="43">
        <f t="shared" si="57"/>
        <v>198</v>
      </c>
      <c r="I63" s="43">
        <f>I61+I62</f>
        <v>1928</v>
      </c>
      <c r="J63" s="43">
        <f>J61+J62</f>
        <v>274</v>
      </c>
      <c r="K63" s="43">
        <f>K61+K62</f>
        <v>349</v>
      </c>
      <c r="L63" s="43">
        <f t="shared" ref="L63:O63" si="58">L61+L62</f>
        <v>328</v>
      </c>
      <c r="M63" s="43">
        <f t="shared" si="58"/>
        <v>366</v>
      </c>
      <c r="N63" s="43">
        <f t="shared" si="58"/>
        <v>351</v>
      </c>
      <c r="O63" s="43">
        <f t="shared" si="58"/>
        <v>481</v>
      </c>
      <c r="P63" s="43">
        <f t="shared" ref="P63:T63" si="59">P61+P62</f>
        <v>362</v>
      </c>
      <c r="Q63" s="43">
        <f t="shared" si="59"/>
        <v>494</v>
      </c>
      <c r="R63" s="43">
        <f t="shared" si="59"/>
        <v>252</v>
      </c>
      <c r="S63" s="43">
        <f t="shared" si="59"/>
        <v>280</v>
      </c>
      <c r="T63" s="43">
        <f t="shared" si="59"/>
        <v>276</v>
      </c>
      <c r="U63" s="43">
        <f t="shared" ref="U63:Y63" si="60">U61+U62</f>
        <v>276</v>
      </c>
      <c r="V63" s="43">
        <f t="shared" si="60"/>
        <v>509</v>
      </c>
      <c r="W63" s="43">
        <f t="shared" si="60"/>
        <v>269</v>
      </c>
      <c r="X63" s="43">
        <f t="shared" si="60"/>
        <v>1433</v>
      </c>
      <c r="Y63" s="43">
        <f t="shared" si="60"/>
        <v>508</v>
      </c>
      <c r="Z63" s="43">
        <f t="shared" ref="Z63:AB63" si="61">Z61+Z62</f>
        <v>404</v>
      </c>
      <c r="AA63" s="43">
        <f t="shared" si="61"/>
        <v>877</v>
      </c>
      <c r="AB63" s="43">
        <f t="shared" si="61"/>
        <v>2953</v>
      </c>
    </row>
    <row r="64" spans="1:28" s="44" customFormat="1" x14ac:dyDescent="0.3">
      <c r="A64" s="42" t="s">
        <v>298</v>
      </c>
      <c r="B64" s="81"/>
      <c r="C64" s="81"/>
      <c r="D64" s="81"/>
      <c r="E64" s="81"/>
      <c r="F64" s="81"/>
      <c r="G64" s="81"/>
      <c r="H64" s="81"/>
      <c r="I64" s="81"/>
      <c r="J64" s="81"/>
      <c r="K64" s="80"/>
      <c r="L64" s="80"/>
      <c r="M64" s="80"/>
      <c r="N64" s="81"/>
      <c r="O64" s="80"/>
      <c r="P64" s="80"/>
      <c r="Q64" s="80"/>
      <c r="R64" s="81"/>
      <c r="S64" s="80"/>
      <c r="T64" s="80"/>
      <c r="U64" s="80"/>
      <c r="V64" s="80"/>
      <c r="W64" s="80"/>
      <c r="X64" s="80"/>
      <c r="Y64" s="80"/>
      <c r="Z64" s="80"/>
      <c r="AA64" s="80"/>
      <c r="AB64" s="80"/>
    </row>
    <row r="65" spans="1:28" s="44" customFormat="1" x14ac:dyDescent="0.3">
      <c r="A65" s="42" t="s">
        <v>301</v>
      </c>
      <c r="B65" s="46"/>
      <c r="C65" s="46"/>
      <c r="D65" s="46"/>
      <c r="E65" s="46"/>
      <c r="F65" s="46"/>
      <c r="G65" s="46"/>
      <c r="H65" s="46"/>
      <c r="I65" s="46"/>
      <c r="J65" s="46"/>
      <c r="K65" s="80"/>
      <c r="L65" s="80"/>
      <c r="M65" s="80"/>
      <c r="N65" s="46"/>
      <c r="O65" s="80"/>
      <c r="P65" s="80"/>
      <c r="Q65" s="80"/>
      <c r="R65" s="46"/>
      <c r="S65" s="80"/>
      <c r="T65" s="80"/>
      <c r="U65" s="80"/>
      <c r="V65" s="80"/>
      <c r="W65" s="80"/>
      <c r="X65" s="80"/>
      <c r="Y65" s="80"/>
      <c r="Z65" s="80"/>
      <c r="AA65" s="80"/>
      <c r="AB65" s="80"/>
    </row>
  </sheetData>
  <mergeCells count="1">
    <mergeCell ref="A1:R1"/>
  </mergeCells>
  <pageMargins left="0.70866141732283472" right="0.70866141732283472" top="0.74803149606299213" bottom="0.74803149606299213" header="0.31496062992125984" footer="0.31496062992125984"/>
  <pageSetup paperSize="9" scale="24"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pageSetUpPr fitToPage="1"/>
  </sheetPr>
  <dimension ref="B2:N36"/>
  <sheetViews>
    <sheetView view="pageBreakPreview" zoomScale="60" zoomScaleNormal="100" workbookViewId="0">
      <selection activeCell="B9" sqref="B9:J24"/>
    </sheetView>
  </sheetViews>
  <sheetFormatPr defaultColWidth="9" defaultRowHeight="14.4" x14ac:dyDescent="0.3"/>
  <cols>
    <col min="1" max="16384" width="9" style="52"/>
  </cols>
  <sheetData>
    <row r="2" spans="2:14" ht="15" customHeight="1" x14ac:dyDescent="0.3">
      <c r="B2" s="54"/>
      <c r="C2" s="55"/>
      <c r="D2" s="55"/>
      <c r="E2" s="55"/>
      <c r="F2" s="55"/>
      <c r="G2" s="55"/>
      <c r="H2" s="55"/>
      <c r="I2" s="55"/>
      <c r="J2" s="55"/>
      <c r="K2" s="55"/>
    </row>
    <row r="3" spans="2:14" ht="15" customHeight="1" x14ac:dyDescent="0.3">
      <c r="B3" s="55"/>
      <c r="C3" s="55"/>
      <c r="D3" s="55"/>
      <c r="E3" s="55"/>
      <c r="F3" s="55"/>
      <c r="G3" s="55"/>
      <c r="H3" s="55"/>
      <c r="I3" s="55"/>
      <c r="J3" s="55"/>
      <c r="K3" s="55"/>
    </row>
    <row r="4" spans="2:14" ht="15" customHeight="1" x14ac:dyDescent="0.3">
      <c r="B4" s="55"/>
      <c r="C4" s="55"/>
      <c r="D4" s="55"/>
      <c r="E4" s="55"/>
      <c r="F4" s="55"/>
      <c r="G4" s="55"/>
      <c r="H4" s="55"/>
      <c r="I4" s="55"/>
      <c r="J4" s="55"/>
      <c r="K4" s="55"/>
    </row>
    <row r="5" spans="2:14" ht="15" customHeight="1" x14ac:dyDescent="0.3">
      <c r="B5" s="55"/>
      <c r="C5" s="55"/>
      <c r="D5" s="55"/>
      <c r="E5" s="55"/>
      <c r="F5" s="55"/>
      <c r="G5" s="55"/>
      <c r="H5" s="55"/>
      <c r="I5" s="55"/>
      <c r="J5" s="55"/>
      <c r="K5" s="55"/>
    </row>
    <row r="6" spans="2:14" ht="15" customHeight="1" x14ac:dyDescent="0.3">
      <c r="B6" s="55"/>
      <c r="C6" s="55"/>
      <c r="D6" s="55"/>
      <c r="E6" s="55"/>
      <c r="F6" s="55"/>
      <c r="G6" s="55"/>
      <c r="H6" s="55"/>
      <c r="I6" s="55"/>
      <c r="J6" s="55"/>
      <c r="K6" s="55"/>
    </row>
    <row r="7" spans="2:14" ht="15" customHeight="1" x14ac:dyDescent="0.3">
      <c r="B7" s="55"/>
      <c r="C7" s="55"/>
      <c r="D7" s="55"/>
      <c r="E7" s="55"/>
      <c r="F7" s="55"/>
      <c r="G7" s="55"/>
      <c r="H7" s="55"/>
      <c r="I7" s="55"/>
      <c r="J7" s="55"/>
      <c r="K7" s="55"/>
    </row>
    <row r="8" spans="2:14" ht="15" customHeight="1" x14ac:dyDescent="0.3">
      <c r="B8" s="55"/>
      <c r="C8" s="55"/>
      <c r="D8" s="55"/>
      <c r="E8" s="55"/>
      <c r="F8" s="55"/>
      <c r="G8" s="55"/>
      <c r="H8" s="55"/>
      <c r="I8" s="55"/>
      <c r="J8" s="55"/>
      <c r="K8" s="55"/>
    </row>
    <row r="9" spans="2:14" ht="15" customHeight="1" x14ac:dyDescent="0.3">
      <c r="B9" s="348" t="s">
        <v>286</v>
      </c>
      <c r="C9" s="348"/>
      <c r="D9" s="348"/>
      <c r="E9" s="348"/>
      <c r="F9" s="348"/>
      <c r="G9" s="348"/>
      <c r="H9" s="348"/>
      <c r="I9" s="348"/>
      <c r="J9" s="348"/>
      <c r="K9" s="55"/>
    </row>
    <row r="10" spans="2:14" ht="15" customHeight="1" x14ac:dyDescent="0.3">
      <c r="B10" s="348"/>
      <c r="C10" s="348"/>
      <c r="D10" s="348"/>
      <c r="E10" s="348"/>
      <c r="F10" s="348"/>
      <c r="G10" s="348"/>
      <c r="H10" s="348"/>
      <c r="I10" s="348"/>
      <c r="J10" s="348"/>
      <c r="K10" s="55"/>
    </row>
    <row r="11" spans="2:14" ht="15" customHeight="1" x14ac:dyDescent="0.3">
      <c r="B11" s="348"/>
      <c r="C11" s="348"/>
      <c r="D11" s="348"/>
      <c r="E11" s="348"/>
      <c r="F11" s="348"/>
      <c r="G11" s="348"/>
      <c r="H11" s="348"/>
      <c r="I11" s="348"/>
      <c r="J11" s="348"/>
      <c r="K11" s="55"/>
    </row>
    <row r="12" spans="2:14" ht="15" customHeight="1" x14ac:dyDescent="0.3">
      <c r="B12" s="348"/>
      <c r="C12" s="348"/>
      <c r="D12" s="348"/>
      <c r="E12" s="348"/>
      <c r="F12" s="348"/>
      <c r="G12" s="348"/>
      <c r="H12" s="348"/>
      <c r="I12" s="348"/>
      <c r="J12" s="348"/>
      <c r="K12" s="55"/>
    </row>
    <row r="13" spans="2:14" ht="15" customHeight="1" x14ac:dyDescent="0.3">
      <c r="B13" s="348"/>
      <c r="C13" s="348"/>
      <c r="D13" s="348"/>
      <c r="E13" s="348"/>
      <c r="F13" s="348"/>
      <c r="G13" s="348"/>
      <c r="H13" s="348"/>
      <c r="I13" s="348"/>
      <c r="J13" s="348"/>
      <c r="K13" s="55"/>
    </row>
    <row r="14" spans="2:14" ht="15" customHeight="1" x14ac:dyDescent="0.3">
      <c r="B14" s="348"/>
      <c r="C14" s="348"/>
      <c r="D14" s="348"/>
      <c r="E14" s="348"/>
      <c r="F14" s="348"/>
      <c r="G14" s="348"/>
      <c r="H14" s="348"/>
      <c r="I14" s="348"/>
      <c r="J14" s="348"/>
      <c r="K14" s="55"/>
    </row>
    <row r="15" spans="2:14" ht="15" customHeight="1" x14ac:dyDescent="0.3">
      <c r="B15" s="348"/>
      <c r="C15" s="348"/>
      <c r="D15" s="348"/>
      <c r="E15" s="348"/>
      <c r="F15" s="348"/>
      <c r="G15" s="348"/>
      <c r="H15" s="348"/>
      <c r="I15" s="348"/>
      <c r="J15" s="348"/>
      <c r="K15" s="55"/>
    </row>
    <row r="16" spans="2:14" ht="15" customHeight="1" x14ac:dyDescent="0.3">
      <c r="B16" s="348"/>
      <c r="C16" s="348"/>
      <c r="D16" s="348"/>
      <c r="E16" s="348"/>
      <c r="F16" s="348"/>
      <c r="G16" s="348"/>
      <c r="H16" s="348"/>
      <c r="I16" s="348"/>
      <c r="J16" s="348"/>
      <c r="K16" s="55"/>
      <c r="N16"/>
    </row>
    <row r="17" spans="2:14" ht="15" customHeight="1" x14ac:dyDescent="0.3">
      <c r="B17" s="348"/>
      <c r="C17" s="348"/>
      <c r="D17" s="348"/>
      <c r="E17" s="348"/>
      <c r="F17" s="348"/>
      <c r="G17" s="348"/>
      <c r="H17" s="348"/>
      <c r="I17" s="348"/>
      <c r="J17" s="348"/>
      <c r="K17" s="55"/>
      <c r="N17"/>
    </row>
    <row r="18" spans="2:14" ht="15" customHeight="1" x14ac:dyDescent="0.3">
      <c r="B18" s="348"/>
      <c r="C18" s="348"/>
      <c r="D18" s="348"/>
      <c r="E18" s="348"/>
      <c r="F18" s="348"/>
      <c r="G18" s="348"/>
      <c r="H18" s="348"/>
      <c r="I18" s="348"/>
      <c r="J18" s="348"/>
      <c r="K18" s="55"/>
    </row>
    <row r="19" spans="2:14" ht="15" customHeight="1" x14ac:dyDescent="0.3">
      <c r="B19" s="348"/>
      <c r="C19" s="348"/>
      <c r="D19" s="348"/>
      <c r="E19" s="348"/>
      <c r="F19" s="348"/>
      <c r="G19" s="348"/>
      <c r="H19" s="348"/>
      <c r="I19" s="348"/>
      <c r="J19" s="348"/>
      <c r="K19" s="55"/>
    </row>
    <row r="20" spans="2:14" ht="15" customHeight="1" x14ac:dyDescent="0.3">
      <c r="B20" s="348"/>
      <c r="C20" s="348"/>
      <c r="D20" s="348"/>
      <c r="E20" s="348"/>
      <c r="F20" s="348"/>
      <c r="G20" s="348"/>
      <c r="H20" s="348"/>
      <c r="I20" s="348"/>
      <c r="J20" s="348"/>
      <c r="K20" s="55"/>
    </row>
    <row r="21" spans="2:14" ht="15" customHeight="1" x14ac:dyDescent="0.3">
      <c r="B21" s="348"/>
      <c r="C21" s="348"/>
      <c r="D21" s="348"/>
      <c r="E21" s="348"/>
      <c r="F21" s="348"/>
      <c r="G21" s="348"/>
      <c r="H21" s="348"/>
      <c r="I21" s="348"/>
      <c r="J21" s="348"/>
      <c r="K21" s="55"/>
    </row>
    <row r="22" spans="2:14" ht="15" customHeight="1" x14ac:dyDescent="0.3">
      <c r="B22" s="348"/>
      <c r="C22" s="348"/>
      <c r="D22" s="348"/>
      <c r="E22" s="348"/>
      <c r="F22" s="348"/>
      <c r="G22" s="348"/>
      <c r="H22" s="348"/>
      <c r="I22" s="348"/>
      <c r="J22" s="348"/>
      <c r="K22" s="55"/>
    </row>
    <row r="23" spans="2:14" ht="15" customHeight="1" x14ac:dyDescent="0.3">
      <c r="B23" s="348"/>
      <c r="C23" s="348"/>
      <c r="D23" s="348"/>
      <c r="E23" s="348"/>
      <c r="F23" s="348"/>
      <c r="G23" s="348"/>
      <c r="H23" s="348"/>
      <c r="I23" s="348"/>
      <c r="J23" s="348"/>
      <c r="K23" s="55"/>
    </row>
    <row r="24" spans="2:14" ht="15" customHeight="1" x14ac:dyDescent="0.3">
      <c r="B24" s="348"/>
      <c r="C24" s="348"/>
      <c r="D24" s="348"/>
      <c r="E24" s="348"/>
      <c r="F24" s="348"/>
      <c r="G24" s="348"/>
      <c r="H24" s="348"/>
      <c r="I24" s="348"/>
      <c r="J24" s="348"/>
      <c r="K24" s="55"/>
    </row>
    <row r="25" spans="2:14" ht="15" customHeight="1" x14ac:dyDescent="0.3">
      <c r="B25" s="55"/>
      <c r="C25" s="55"/>
      <c r="D25" s="55"/>
      <c r="E25" s="55"/>
      <c r="F25" s="55"/>
      <c r="G25" s="55"/>
      <c r="H25" s="55"/>
      <c r="I25" s="55"/>
      <c r="J25" s="55"/>
      <c r="K25" s="55"/>
    </row>
    <row r="26" spans="2:14" ht="15" customHeight="1" x14ac:dyDescent="0.3">
      <c r="B26" s="55"/>
      <c r="C26" s="55"/>
      <c r="D26" s="55"/>
      <c r="E26" s="55"/>
      <c r="F26" s="55"/>
      <c r="G26" s="55"/>
      <c r="H26" s="55"/>
      <c r="I26" s="55"/>
      <c r="J26" s="55"/>
      <c r="K26" s="55"/>
    </row>
    <row r="27" spans="2:14" ht="15" customHeight="1" x14ac:dyDescent="0.3">
      <c r="B27" s="55"/>
      <c r="C27" s="55"/>
      <c r="D27" s="55"/>
      <c r="E27" s="55"/>
      <c r="F27" s="55"/>
      <c r="G27" s="55"/>
      <c r="H27" s="55"/>
      <c r="I27" s="55"/>
      <c r="J27" s="55"/>
      <c r="K27" s="55"/>
    </row>
    <row r="28" spans="2:14" ht="15" customHeight="1" x14ac:dyDescent="0.3">
      <c r="B28" s="55"/>
      <c r="C28" s="55"/>
      <c r="D28" s="55"/>
      <c r="E28" s="55"/>
      <c r="F28" s="55"/>
      <c r="G28" s="55"/>
      <c r="H28" s="55"/>
      <c r="I28" s="55"/>
      <c r="J28" s="55"/>
      <c r="K28" s="55"/>
    </row>
    <row r="29" spans="2:14" ht="15" customHeight="1" x14ac:dyDescent="0.3">
      <c r="B29" s="55"/>
      <c r="C29" s="55"/>
      <c r="D29" s="55"/>
      <c r="E29" s="55"/>
      <c r="F29" s="55"/>
      <c r="G29" s="55"/>
      <c r="H29" s="55"/>
      <c r="I29" s="55"/>
      <c r="J29" s="55"/>
      <c r="K29" s="55"/>
    </row>
    <row r="30" spans="2:14" ht="15" customHeight="1" x14ac:dyDescent="0.3">
      <c r="B30" s="55"/>
      <c r="C30" s="55"/>
      <c r="D30" s="55"/>
      <c r="E30" s="55"/>
      <c r="F30" s="55"/>
      <c r="G30" s="55"/>
      <c r="H30" s="55"/>
      <c r="I30" s="55"/>
      <c r="J30" s="55"/>
      <c r="K30" s="55"/>
    </row>
    <row r="31" spans="2:14" ht="15" customHeight="1" x14ac:dyDescent="0.3">
      <c r="B31" s="55"/>
      <c r="C31" s="55"/>
      <c r="D31" s="55"/>
      <c r="E31" s="55"/>
      <c r="F31" s="55"/>
      <c r="G31" s="55"/>
      <c r="H31" s="55"/>
      <c r="I31" s="55"/>
      <c r="J31" s="55"/>
      <c r="K31" s="55"/>
    </row>
    <row r="32" spans="2:14" ht="15" customHeight="1" x14ac:dyDescent="0.3">
      <c r="B32" s="55"/>
      <c r="C32" s="55"/>
      <c r="D32" s="55"/>
      <c r="E32" s="55"/>
      <c r="F32" s="55"/>
      <c r="G32" s="55"/>
      <c r="H32" s="55"/>
      <c r="I32" s="55"/>
      <c r="J32" s="55"/>
      <c r="K32" s="55"/>
    </row>
    <row r="33" spans="2:11" ht="15" customHeight="1" x14ac:dyDescent="0.3">
      <c r="B33" s="55"/>
      <c r="C33" s="55"/>
      <c r="D33" s="55"/>
      <c r="E33" s="55"/>
      <c r="F33" s="55"/>
      <c r="G33" s="55"/>
      <c r="H33" s="55"/>
      <c r="I33" s="55"/>
      <c r="J33" s="55"/>
      <c r="K33" s="55"/>
    </row>
    <row r="34" spans="2:11" ht="15" customHeight="1" x14ac:dyDescent="0.3">
      <c r="B34" s="55"/>
      <c r="C34" s="55"/>
      <c r="D34" s="55"/>
      <c r="E34" s="55"/>
      <c r="F34" s="55"/>
      <c r="G34" s="55"/>
      <c r="H34" s="55"/>
      <c r="I34" s="55"/>
      <c r="J34" s="55"/>
      <c r="K34" s="55"/>
    </row>
    <row r="35" spans="2:11" ht="15" customHeight="1" x14ac:dyDescent="0.3">
      <c r="B35" s="55"/>
      <c r="C35" s="55"/>
      <c r="D35" s="55"/>
      <c r="E35" s="55"/>
      <c r="F35" s="55"/>
      <c r="G35" s="55"/>
      <c r="H35" s="55"/>
      <c r="I35" s="55"/>
      <c r="J35" s="55"/>
      <c r="K35" s="55"/>
    </row>
    <row r="36" spans="2:11" ht="15" customHeight="1" x14ac:dyDescent="0.3">
      <c r="B36" s="55"/>
      <c r="C36" s="55"/>
      <c r="D36" s="55"/>
      <c r="E36" s="55"/>
      <c r="F36" s="55"/>
      <c r="G36" s="55"/>
      <c r="H36" s="55"/>
      <c r="I36" s="55"/>
      <c r="J36" s="55"/>
      <c r="K36" s="55"/>
    </row>
  </sheetData>
  <mergeCells count="1">
    <mergeCell ref="B9:J24"/>
  </mergeCells>
  <pageMargins left="0.70866141732283472" right="0.70866141732283472" top="0.74803149606299213" bottom="0.74803149606299213" header="0.31496062992125984" footer="0.31496062992125984"/>
  <pageSetup paperSize="9" scale="8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tint="0.79998168889431442"/>
  </sheetPr>
  <dimension ref="A1:AB64"/>
  <sheetViews>
    <sheetView view="pageBreakPreview" zoomScale="80" zoomScaleNormal="100" zoomScaleSheetLayoutView="80" workbookViewId="0">
      <pane xSplit="1" ySplit="7" topLeftCell="N11" activePane="bottomRight" state="frozen"/>
      <selection pane="topRight" activeCell="B1" sqref="B1"/>
      <selection pane="bottomLeft" activeCell="A8" sqref="A8"/>
      <selection pane="bottomRight" activeCell="V13" sqref="V13:AA13"/>
    </sheetView>
  </sheetViews>
  <sheetFormatPr defaultColWidth="8.88671875" defaultRowHeight="14.4" x14ac:dyDescent="0.3"/>
  <cols>
    <col min="1" max="1" width="80.109375" style="13" customWidth="1"/>
    <col min="2" max="6" width="10.44140625" style="13" bestFit="1" customWidth="1"/>
    <col min="7" max="21" width="10.44140625" style="13" customWidth="1"/>
    <col min="22" max="22" width="10.33203125" style="13" customWidth="1"/>
    <col min="23" max="23" width="9.88671875" style="13" customWidth="1"/>
    <col min="24" max="24" width="11.109375" style="13" customWidth="1"/>
    <col min="25" max="25" width="11" style="13" customWidth="1"/>
    <col min="26" max="28" width="10.33203125" style="13" bestFit="1" customWidth="1"/>
    <col min="29" max="16384" width="8.88671875" style="13"/>
  </cols>
  <sheetData>
    <row r="1" spans="1:28" ht="28.8" x14ac:dyDescent="0.55000000000000004">
      <c r="A1" s="352" t="str">
        <f>IF(Inputs!$E$14="Semi-annual",(Inputs!$E$9&amp;" - Semi-annual Cash Flow "&amp;Inputs!$E$19),(Inputs!$E$9&amp;" - Qtrly Cash Flow "&amp;Inputs!$E$19))</f>
        <v>Air Canada - Qtrly Cash Flow US$</v>
      </c>
      <c r="B1" s="352"/>
      <c r="C1" s="352"/>
      <c r="D1" s="352"/>
      <c r="E1" s="352"/>
      <c r="F1" s="352"/>
      <c r="G1" s="352"/>
      <c r="H1" s="352"/>
      <c r="I1" s="352"/>
      <c r="J1" s="352"/>
      <c r="K1" s="352"/>
      <c r="L1" s="352"/>
      <c r="M1" s="352"/>
      <c r="N1" s="352"/>
      <c r="O1" s="352"/>
      <c r="P1" s="352"/>
      <c r="Q1" s="352"/>
      <c r="R1" s="352"/>
      <c r="S1" s="69"/>
      <c r="T1" s="69"/>
      <c r="U1" s="69"/>
      <c r="V1" s="69"/>
      <c r="W1" s="69"/>
      <c r="X1" s="69"/>
      <c r="Y1" s="69"/>
      <c r="Z1" s="69"/>
    </row>
    <row r="2" spans="1:28" x14ac:dyDescent="0.3">
      <c r="A2" s="3"/>
      <c r="B2" s="3" t="str">
        <f>'Interim Operational Data'!B2</f>
        <v>Q1</v>
      </c>
      <c r="C2" s="3" t="str">
        <f>'Interim Operational Data'!C2</f>
        <v>Q2</v>
      </c>
      <c r="D2" s="3" t="str">
        <f>'Interim Operational Data'!D2</f>
        <v>Q3</v>
      </c>
      <c r="E2" s="3" t="str">
        <f>'Interim Operational Data'!E2</f>
        <v>Q4</v>
      </c>
      <c r="F2" s="3" t="str">
        <f>'Interim Operational Data'!F2</f>
        <v>Q1</v>
      </c>
      <c r="G2" s="3" t="str">
        <f>'Interim Operational Data'!G2</f>
        <v>Q2</v>
      </c>
      <c r="H2" s="3" t="str">
        <f>'Interim Operational Data'!H2</f>
        <v>Q3</v>
      </c>
      <c r="I2" s="3" t="str">
        <f>'Interim Operational Data'!I2</f>
        <v>Q4</v>
      </c>
      <c r="J2" s="3" t="str">
        <f>'Interim Operational Data'!J2</f>
        <v>Q1</v>
      </c>
      <c r="K2" s="3" t="str">
        <f>'Interim Operational Data'!K2</f>
        <v>Q2</v>
      </c>
      <c r="L2" s="3" t="str">
        <f>'Interim Operational Data'!L2</f>
        <v>Q3</v>
      </c>
      <c r="M2" s="3" t="str">
        <f>'Interim Operational Data'!M2</f>
        <v>Q4</v>
      </c>
      <c r="N2" s="3" t="str">
        <f>'Interim Operational Data'!N2</f>
        <v>Q1</v>
      </c>
      <c r="O2" s="3" t="str">
        <f>'Interim Operational Data'!O2</f>
        <v>Q2</v>
      </c>
      <c r="P2" s="3" t="str">
        <f>'Interim Operational Data'!P2</f>
        <v>Q3</v>
      </c>
      <c r="Q2" s="3" t="str">
        <f>'Interim Operational Data'!Q2</f>
        <v>Q4</v>
      </c>
      <c r="R2" s="3" t="str">
        <f>'Interim Operational Data'!R2</f>
        <v>Q1</v>
      </c>
      <c r="S2" s="3" t="str">
        <f>'Interim Operational Data'!S2</f>
        <v>Q2</v>
      </c>
      <c r="T2" s="3" t="str">
        <f>'Interim Operational Data'!T2</f>
        <v>Q3</v>
      </c>
      <c r="U2" s="3" t="str">
        <f>'Interim Operational Data'!U2</f>
        <v>Q4</v>
      </c>
      <c r="V2" s="3" t="str">
        <f>'Interim Operational Data'!V2</f>
        <v>Q1</v>
      </c>
      <c r="W2" s="3" t="str">
        <f>'Interim Operational Data'!W2</f>
        <v>Q2</v>
      </c>
      <c r="X2" s="3" t="str">
        <f>'Interim Operational Data'!X2</f>
        <v>Q3</v>
      </c>
      <c r="Y2" s="3" t="str">
        <f>'Interim Operational Data'!Y2</f>
        <v>Q4</v>
      </c>
      <c r="Z2" s="3" t="str">
        <f>'Interim Operational Data'!Z2</f>
        <v>Q1</v>
      </c>
      <c r="AA2" s="3" t="str">
        <f>'Interim Operational Data'!AA2</f>
        <v>Q2</v>
      </c>
      <c r="AB2" s="3" t="str">
        <f>'Interim Operational Data'!AB2</f>
        <v>Q3</v>
      </c>
    </row>
    <row r="3" spans="1:28" x14ac:dyDescent="0.3">
      <c r="A3" s="3"/>
      <c r="B3" s="7">
        <f>'Interim Operational Data'!B3</f>
        <v>42094</v>
      </c>
      <c r="C3" s="7">
        <f>'Interim Operational Data'!C3</f>
        <v>42185</v>
      </c>
      <c r="D3" s="7">
        <f>'Interim Operational Data'!D3</f>
        <v>42277</v>
      </c>
      <c r="E3" s="7">
        <f>'Interim Operational Data'!E3</f>
        <v>42369</v>
      </c>
      <c r="F3" s="7">
        <f>'Interim Operational Data'!F3</f>
        <v>42460</v>
      </c>
      <c r="G3" s="7">
        <f>'Interim Operational Data'!G3</f>
        <v>42551</v>
      </c>
      <c r="H3" s="7">
        <f>'Interim Operational Data'!H3</f>
        <v>42643</v>
      </c>
      <c r="I3" s="7">
        <f>'Interim Operational Data'!I3</f>
        <v>42735</v>
      </c>
      <c r="J3" s="7">
        <f>'Interim Operational Data'!J3</f>
        <v>42825</v>
      </c>
      <c r="K3" s="7">
        <f>'Interim Operational Data'!K3</f>
        <v>42916</v>
      </c>
      <c r="L3" s="7">
        <f>'Interim Operational Data'!L3</f>
        <v>43008</v>
      </c>
      <c r="M3" s="7">
        <f>'Interim Operational Data'!M3</f>
        <v>43100</v>
      </c>
      <c r="N3" s="7">
        <f>'Interim Operational Data'!N3</f>
        <v>43190</v>
      </c>
      <c r="O3" s="7">
        <f>'Interim Operational Data'!O3</f>
        <v>43281</v>
      </c>
      <c r="P3" s="7">
        <f>'Interim Operational Data'!P3</f>
        <v>43373</v>
      </c>
      <c r="Q3" s="7">
        <f>'Interim Operational Data'!Q3</f>
        <v>43465</v>
      </c>
      <c r="R3" s="7">
        <f>'Interim Operational Data'!R3</f>
        <v>43555</v>
      </c>
      <c r="S3" s="7">
        <f>'Interim Operational Data'!S3</f>
        <v>43646</v>
      </c>
      <c r="T3" s="7">
        <f>'Interim Operational Data'!T3</f>
        <v>43738</v>
      </c>
      <c r="U3" s="7">
        <f>'Interim Operational Data'!U3</f>
        <v>43830</v>
      </c>
      <c r="V3" s="7">
        <f>'Interim Operational Data'!V3</f>
        <v>43921</v>
      </c>
      <c r="W3" s="7">
        <f>'Interim Operational Data'!W3</f>
        <v>44012</v>
      </c>
      <c r="X3" s="7">
        <f>'Interim Operational Data'!X3</f>
        <v>44104</v>
      </c>
      <c r="Y3" s="7">
        <f>'Interim Operational Data'!Y3</f>
        <v>44196</v>
      </c>
      <c r="Z3" s="7">
        <f>'Interim Operational Data'!Z3</f>
        <v>44286</v>
      </c>
      <c r="AA3" s="7">
        <f>'Interim Operational Data'!AA3</f>
        <v>44377</v>
      </c>
      <c r="AB3" s="7">
        <f>'Interim Operational Data'!AB3</f>
        <v>44469</v>
      </c>
    </row>
    <row r="4" spans="1:28" x14ac:dyDescent="0.3">
      <c r="A4" s="3"/>
      <c r="B4" s="3" t="s">
        <v>1</v>
      </c>
      <c r="C4" s="66" t="s">
        <v>1</v>
      </c>
      <c r="D4" s="66" t="s">
        <v>1</v>
      </c>
      <c r="E4" s="66" t="s">
        <v>1</v>
      </c>
      <c r="F4" s="66" t="s">
        <v>1</v>
      </c>
      <c r="G4" s="66" t="s">
        <v>1</v>
      </c>
      <c r="H4" s="66" t="s">
        <v>1</v>
      </c>
      <c r="I4" s="3" t="s">
        <v>1</v>
      </c>
      <c r="J4" s="66" t="s">
        <v>1</v>
      </c>
      <c r="K4" s="66" t="s">
        <v>1</v>
      </c>
      <c r="L4" s="66" t="s">
        <v>1</v>
      </c>
      <c r="M4" s="66" t="s">
        <v>1</v>
      </c>
      <c r="N4" s="66" t="s">
        <v>1</v>
      </c>
      <c r="O4" s="66" t="s">
        <v>1</v>
      </c>
      <c r="P4" s="66" t="s">
        <v>1</v>
      </c>
      <c r="Q4" s="66" t="s">
        <v>1</v>
      </c>
      <c r="R4" s="66" t="s">
        <v>1</v>
      </c>
      <c r="S4" s="66" t="s">
        <v>1</v>
      </c>
      <c r="T4" s="66" t="s">
        <v>1</v>
      </c>
      <c r="U4" s="66" t="s">
        <v>1</v>
      </c>
      <c r="V4" s="66" t="s">
        <v>1</v>
      </c>
      <c r="W4" s="66" t="s">
        <v>1</v>
      </c>
      <c r="X4" s="66" t="s">
        <v>1</v>
      </c>
      <c r="Y4" s="66" t="s">
        <v>1</v>
      </c>
      <c r="Z4" s="66" t="s">
        <v>1</v>
      </c>
      <c r="AA4" s="66" t="s">
        <v>1</v>
      </c>
      <c r="AB4" s="66" t="s">
        <v>1</v>
      </c>
    </row>
    <row r="5" spans="1:28" x14ac:dyDescent="0.3">
      <c r="A5" s="3"/>
      <c r="B5" s="3" t="str">
        <f>Inputs!$E$19 &amp;"m"</f>
        <v>US$m</v>
      </c>
      <c r="C5" s="3" t="str">
        <f>Inputs!$E$19 &amp;"m"</f>
        <v>US$m</v>
      </c>
      <c r="D5" s="3" t="str">
        <f>Inputs!$E$19 &amp;"m"</f>
        <v>US$m</v>
      </c>
      <c r="E5" s="3" t="str">
        <f>Inputs!$E$19 &amp;"m"</f>
        <v>US$m</v>
      </c>
      <c r="F5" s="3" t="str">
        <f>Inputs!$E$19 &amp;"m"</f>
        <v>US$m</v>
      </c>
      <c r="G5" s="3" t="str">
        <f>Inputs!$E$19 &amp;"m"</f>
        <v>US$m</v>
      </c>
      <c r="H5" s="3" t="str">
        <f>Inputs!$E$19 &amp;"m"</f>
        <v>US$m</v>
      </c>
      <c r="I5" s="3" t="str">
        <f>Inputs!$E$19 &amp;"m"</f>
        <v>US$m</v>
      </c>
      <c r="J5" s="3" t="str">
        <f>Inputs!$E$19 &amp;"m"</f>
        <v>US$m</v>
      </c>
      <c r="K5" s="3" t="str">
        <f>Inputs!$E$19 &amp;"m"</f>
        <v>US$m</v>
      </c>
      <c r="L5" s="3" t="str">
        <f>Inputs!$E$19 &amp;"m"</f>
        <v>US$m</v>
      </c>
      <c r="M5" s="3" t="str">
        <f>Inputs!$E$19 &amp;"m"</f>
        <v>US$m</v>
      </c>
      <c r="N5" s="3" t="str">
        <f>Inputs!$E$19 &amp;"m"</f>
        <v>US$m</v>
      </c>
      <c r="O5" s="3" t="str">
        <f>Inputs!$E$19 &amp;"m"</f>
        <v>US$m</v>
      </c>
      <c r="P5" s="3" t="str">
        <f>Inputs!$E$19 &amp;"m"</f>
        <v>US$m</v>
      </c>
      <c r="Q5" s="3" t="str">
        <f>Inputs!$E$19 &amp;"m"</f>
        <v>US$m</v>
      </c>
      <c r="R5" s="3" t="str">
        <f>Inputs!$E$19 &amp;"m"</f>
        <v>US$m</v>
      </c>
      <c r="S5" s="3" t="str">
        <f>Inputs!$E$19 &amp;"m"</f>
        <v>US$m</v>
      </c>
      <c r="T5" s="3" t="str">
        <f>Inputs!$E$19 &amp;"m"</f>
        <v>US$m</v>
      </c>
      <c r="U5" s="3" t="str">
        <f>Inputs!$E$19 &amp;"m"</f>
        <v>US$m</v>
      </c>
      <c r="V5" s="3" t="str">
        <f>Inputs!$E$19 &amp;"m"</f>
        <v>US$m</v>
      </c>
      <c r="W5" s="3" t="str">
        <f>Inputs!$E$19 &amp;"m"</f>
        <v>US$m</v>
      </c>
      <c r="X5" s="3" t="str">
        <f>Inputs!$E$19 &amp;"m"</f>
        <v>US$m</v>
      </c>
      <c r="Y5" s="3" t="str">
        <f>Inputs!$E$19 &amp;"m"</f>
        <v>US$m</v>
      </c>
      <c r="Z5" s="3" t="str">
        <f>Inputs!$E$19 &amp;"m"</f>
        <v>US$m</v>
      </c>
      <c r="AA5" s="3" t="str">
        <f>Inputs!$E$19 &amp;"m"</f>
        <v>US$m</v>
      </c>
      <c r="AB5" s="3" t="str">
        <f>Inputs!$E$19 &amp;"m"</f>
        <v>US$m</v>
      </c>
    </row>
    <row r="6" spans="1:28" x14ac:dyDescent="0.3">
      <c r="A6" s="3"/>
      <c r="B6" s="3" t="str">
        <f>(Inputs!$E$19 &amp; " / " &amp;Inputs!$E$18)</f>
        <v>US$ / CAD</v>
      </c>
      <c r="C6" s="3" t="str">
        <f>(Inputs!$E$19 &amp; " / " &amp;Inputs!$E$18)</f>
        <v>US$ / CAD</v>
      </c>
      <c r="D6" s="3" t="str">
        <f>(Inputs!$E$19 &amp; " / " &amp;Inputs!$E$18)</f>
        <v>US$ / CAD</v>
      </c>
      <c r="E6" s="3" t="str">
        <f>(Inputs!$E$19 &amp; " / " &amp;Inputs!$E$18)</f>
        <v>US$ / CAD</v>
      </c>
      <c r="F6" s="3" t="str">
        <f>(Inputs!$E$19 &amp; " / " &amp;Inputs!$E$18)</f>
        <v>US$ / CAD</v>
      </c>
      <c r="G6" s="3" t="str">
        <f>(Inputs!$E$19 &amp; " / " &amp;Inputs!$E$18)</f>
        <v>US$ / CAD</v>
      </c>
      <c r="H6" s="3" t="str">
        <f>(Inputs!$E$19 &amp; " / " &amp;Inputs!$E$18)</f>
        <v>US$ / CAD</v>
      </c>
      <c r="I6" s="3" t="str">
        <f>(Inputs!$E$19 &amp; " / " &amp;Inputs!$E$18)</f>
        <v>US$ / CAD</v>
      </c>
      <c r="J6" s="3" t="str">
        <f>(Inputs!$E$19 &amp; " / " &amp;Inputs!$E$18)</f>
        <v>US$ / CAD</v>
      </c>
      <c r="K6" s="3" t="str">
        <f>(Inputs!$E$19 &amp; " / " &amp;Inputs!$E$18)</f>
        <v>US$ / CAD</v>
      </c>
      <c r="L6" s="3" t="str">
        <f>(Inputs!$E$19 &amp; " / " &amp;Inputs!$E$18)</f>
        <v>US$ / CAD</v>
      </c>
      <c r="M6" s="3" t="str">
        <f>(Inputs!$E$19 &amp; " / " &amp;Inputs!$E$18)</f>
        <v>US$ / CAD</v>
      </c>
      <c r="N6" s="3" t="str">
        <f>(Inputs!$E$19 &amp; " / " &amp;Inputs!$E$18)</f>
        <v>US$ / CAD</v>
      </c>
      <c r="O6" s="3" t="str">
        <f>(Inputs!$E$19 &amp; " / " &amp;Inputs!$E$18)</f>
        <v>US$ / CAD</v>
      </c>
      <c r="P6" s="3" t="str">
        <f>(Inputs!$E$19 &amp; " / " &amp;Inputs!$E$18)</f>
        <v>US$ / CAD</v>
      </c>
      <c r="Q6" s="3" t="str">
        <f>(Inputs!$E$19 &amp; " / " &amp;Inputs!$E$18)</f>
        <v>US$ / CAD</v>
      </c>
      <c r="R6" s="3" t="str">
        <f>(Inputs!$E$19 &amp; " / " &amp;Inputs!$E$18)</f>
        <v>US$ / CAD</v>
      </c>
      <c r="S6" s="3" t="str">
        <f>(Inputs!$E$19 &amp; " / " &amp;Inputs!$E$18)</f>
        <v>US$ / CAD</v>
      </c>
      <c r="T6" s="3" t="str">
        <f>(Inputs!$E$19 &amp; " / " &amp;Inputs!$E$18)</f>
        <v>US$ / CAD</v>
      </c>
      <c r="U6" s="3" t="str">
        <f>(Inputs!$E$19 &amp; " / " &amp;Inputs!$E$18)</f>
        <v>US$ / CAD</v>
      </c>
      <c r="V6" s="3" t="str">
        <f>(Inputs!$E$19 &amp; " / " &amp;Inputs!$E$18)</f>
        <v>US$ / CAD</v>
      </c>
      <c r="W6" s="3" t="str">
        <f>(Inputs!$E$19 &amp; " / " &amp;Inputs!$E$18)</f>
        <v>US$ / CAD</v>
      </c>
      <c r="X6" s="3" t="str">
        <f>(Inputs!$E$19 &amp; " / " &amp;Inputs!$E$18)</f>
        <v>US$ / CAD</v>
      </c>
      <c r="Y6" s="3" t="str">
        <f>(Inputs!$E$19 &amp; " / " &amp;Inputs!$E$18)</f>
        <v>US$ / CAD</v>
      </c>
      <c r="Z6" s="3" t="str">
        <f>(Inputs!$E$19 &amp; " / " &amp;Inputs!$E$18)</f>
        <v>US$ / CAD</v>
      </c>
      <c r="AA6" s="3" t="str">
        <f>(Inputs!$E$19 &amp; " / " &amp;Inputs!$E$18)</f>
        <v>US$ / CAD</v>
      </c>
      <c r="AB6" s="3" t="str">
        <f>(Inputs!$E$19 &amp; " / " &amp;Inputs!$E$18)</f>
        <v>US$ / CAD</v>
      </c>
    </row>
    <row r="7" spans="1:28" x14ac:dyDescent="0.3">
      <c r="A7" s="3"/>
      <c r="B7" s="83">
        <f>Inputs!E28</f>
        <v>1.2383299999999999</v>
      </c>
      <c r="C7" s="83">
        <f>Inputs!F28</f>
        <v>1.22967</v>
      </c>
      <c r="D7" s="83">
        <f>Inputs!G28</f>
        <v>1.30657</v>
      </c>
      <c r="E7" s="83">
        <f>Inputs!H28</f>
        <v>1.33456</v>
      </c>
      <c r="F7" s="83">
        <f>Inputs!I28</f>
        <v>1.3741099999999999</v>
      </c>
      <c r="G7" s="83">
        <f>Inputs!J28</f>
        <v>1.2889299999999999</v>
      </c>
      <c r="H7" s="83">
        <f>Inputs!K28</f>
        <v>1.3035699999999999</v>
      </c>
      <c r="I7" s="83">
        <f>Inputs!L28</f>
        <v>1.3345</v>
      </c>
      <c r="J7" s="83">
        <f>Inputs!M28</f>
        <v>1.32372</v>
      </c>
      <c r="K7" s="83">
        <f>Inputs!N28</f>
        <v>1.347</v>
      </c>
      <c r="L7" s="83">
        <f>Inputs!O28</f>
        <v>1.2538199999999999</v>
      </c>
      <c r="M7" s="83">
        <f>Inputs!P28</f>
        <v>1.2704446153846154</v>
      </c>
      <c r="N7" s="83">
        <f>Inputs!Q28</f>
        <v>1.2640890625000001</v>
      </c>
      <c r="O7" s="83">
        <f>Inputs!R28</f>
        <v>1.290776153846154</v>
      </c>
      <c r="P7" s="83">
        <f>Inputs!S28</f>
        <v>1.307092153846154</v>
      </c>
      <c r="Q7" s="83">
        <f>Inputs!T28</f>
        <v>1.3207999999999998</v>
      </c>
      <c r="R7" s="83">
        <f>Inputs!U28</f>
        <v>1.3297359375000002</v>
      </c>
      <c r="S7" s="83">
        <f>Inputs!V28</f>
        <v>1.3377353846153852</v>
      </c>
      <c r="T7" s="83">
        <f>Inputs!W28</f>
        <v>1.3203575757575758</v>
      </c>
      <c r="U7" s="83">
        <f>Inputs!X28</f>
        <v>1.3200092999999999</v>
      </c>
      <c r="V7" s="83">
        <f>Inputs!Y28</f>
        <v>1.3416946666666665</v>
      </c>
      <c r="W7" s="83">
        <f>Inputs!Z28</f>
        <v>1.3868020000000001</v>
      </c>
      <c r="X7" s="83">
        <f>Inputs!AA28</f>
        <v>1.3448500000000001</v>
      </c>
      <c r="Y7" s="83">
        <f>Inputs!AB28</f>
        <v>1.3321000000000001</v>
      </c>
      <c r="Z7" s="83">
        <f>Inputs!AC28</f>
        <v>1.2942499999999999</v>
      </c>
      <c r="AA7" s="83">
        <f>Inputs!AD28</f>
        <v>1.248</v>
      </c>
      <c r="AB7" s="83">
        <f>Inputs!AE28</f>
        <v>1.254</v>
      </c>
    </row>
    <row r="8" spans="1:28" x14ac:dyDescent="0.3">
      <c r="A8" s="98" t="s">
        <v>480</v>
      </c>
      <c r="B8" s="74">
        <f>'Interim Cash Flow Reported'!B8/'Interim Cash Flow US$'!B$7</f>
        <v>231.76374633579096</v>
      </c>
      <c r="C8" s="74">
        <f>'Interim Cash Flow Reported'!C8/'Interim Cash Flow US$'!C$7</f>
        <v>326.10375141298073</v>
      </c>
      <c r="D8" s="74">
        <f>'Interim Cash Flow Reported'!D8/'Interim Cash Flow US$'!D$7</f>
        <v>690.35719479247189</v>
      </c>
      <c r="E8" s="74">
        <f>'Interim Cash Flow Reported'!E8/'Interim Cash Flow US$'!E$7</f>
        <v>151.36074811173719</v>
      </c>
      <c r="F8" s="74">
        <f>'Interim Cash Flow Reported'!F8/'Interim Cash Flow US$'!F$7</f>
        <v>205.2237448239224</v>
      </c>
      <c r="G8" s="74">
        <f>'Interim Cash Flow Reported'!G8/'Interim Cash Flow US$'!G$7</f>
        <v>287.05980929918616</v>
      </c>
      <c r="H8" s="74">
        <f>'Interim Cash Flow Reported'!H8/'Interim Cash Flow US$'!H$7</f>
        <v>828.49405862362596</v>
      </c>
      <c r="I8" s="74">
        <f>'Interim Cash Flow Reported'!I8/'Interim Cash Flow US$'!I$7</f>
        <v>260.02248032971147</v>
      </c>
      <c r="J8" s="74">
        <f>'Interim Cash Flow Reported'!J8/'Interim Cash Flow US$'!J$7</f>
        <v>138.24675913335147</v>
      </c>
      <c r="K8" s="74">
        <f>'Interim Cash Flow Reported'!K8/'Interim Cash Flow US$'!K$7</f>
        <v>360.80178173719378</v>
      </c>
      <c r="L8" s="74">
        <f>'Interim Cash Flow Reported'!L8/'Interim Cash Flow US$'!L$7</f>
        <v>943.51661322996927</v>
      </c>
      <c r="M8" s="74">
        <f>'Interim Cash Flow Reported'!M8/'Interim Cash Flow US$'!M$7</f>
        <v>697.39364413912028</v>
      </c>
      <c r="N8" s="74">
        <f>'Interim Cash Flow Reported'!N8/'Interim Cash Flow US$'!N$7</f>
        <v>224.66771402825898</v>
      </c>
      <c r="O8" s="74">
        <f>'Interim Cash Flow Reported'!O8/'Interim Cash Flow US$'!O$7</f>
        <v>363.34727644488197</v>
      </c>
      <c r="P8" s="74">
        <f>'Interim Cash Flow Reported'!P8/'Interim Cash Flow US$'!P$7</f>
        <v>913.47805622321482</v>
      </c>
      <c r="Q8" s="74">
        <f>'Interim Cash Flow Reported'!Q8/'Interim Cash Flow US$'!Q$7</f>
        <v>566.32344033918844</v>
      </c>
      <c r="R8" s="74">
        <f>'Interim Cash Flow Reported'!R8/'Interim Cash Flow US$'!R$7</f>
        <v>1634.1590376848785</v>
      </c>
      <c r="S8" s="74">
        <f>'Interim Cash Flow Reported'!S8/'Interim Cash Flow US$'!S$7</f>
        <v>648.85777111260336</v>
      </c>
      <c r="T8" s="74">
        <f>'Interim Cash Flow Reported'!T8/'Interim Cash Flow US$'!T$7</f>
        <v>1065.6204242193344</v>
      </c>
      <c r="U8" s="74">
        <f>'Interim Cash Flow Reported'!U8/'Interim Cash Flow US$'!U$7</f>
        <v>957.56901106681596</v>
      </c>
      <c r="V8" s="74">
        <f>'Interim Cash Flow Reported'!V8/'Interim Cash Flow US$'!V$7</f>
        <v>58.135432701528721</v>
      </c>
      <c r="W8" s="74">
        <f>'Interim Cash Flow Reported'!W8/'Interim Cash Flow US$'!W$7</f>
        <v>-505.47951329750026</v>
      </c>
      <c r="X8" s="74">
        <f>'Interim Cash Flow Reported'!X8/'Interim Cash Flow US$'!X$7</f>
        <v>-437.96705952336691</v>
      </c>
      <c r="Y8" s="74">
        <f>'Interim Cash Flow Reported'!Y8/'Interim Cash Flow US$'!Y$7</f>
        <v>-856.54230162900683</v>
      </c>
      <c r="Z8" s="74">
        <f>'Interim Cash Flow Reported'!Z8/'Interim Cash Flow US$'!Z$7</f>
        <v>-686.11164767239723</v>
      </c>
      <c r="AA8" s="74">
        <f>'Interim Cash Flow Reported'!AA8/'Interim Cash Flow US$'!AA$7</f>
        <v>-1103.3653846153845</v>
      </c>
      <c r="AB8" s="74">
        <f>'Interim Cash Flow Reported'!AB8/'Interim Cash Flow US$'!AB$7</f>
        <v>214.51355661881976</v>
      </c>
    </row>
    <row r="9" spans="1:28" x14ac:dyDescent="0.3">
      <c r="A9" s="85" t="s">
        <v>184</v>
      </c>
      <c r="B9" s="58">
        <f>'Interim Cash Flow Reported'!B9/'Interim Cash Flow US$'!B$7</f>
        <v>0</v>
      </c>
      <c r="C9" s="58">
        <f>'Interim Cash Flow Reported'!C9/'Interim Cash Flow US$'!C$7</f>
        <v>0</v>
      </c>
      <c r="D9" s="58">
        <f>'Interim Cash Flow Reported'!D9/'Interim Cash Flow US$'!D$7</f>
        <v>0</v>
      </c>
      <c r="E9" s="58">
        <f>'Interim Cash Flow Reported'!E9/'Interim Cash Flow US$'!E$7</f>
        <v>0</v>
      </c>
      <c r="F9" s="58">
        <f>'Interim Cash Flow Reported'!F9/'Interim Cash Flow US$'!F$7</f>
        <v>0</v>
      </c>
      <c r="G9" s="58">
        <f>'Interim Cash Flow Reported'!G9/'Interim Cash Flow US$'!G$7</f>
        <v>0</v>
      </c>
      <c r="H9" s="58">
        <f>'Interim Cash Flow Reported'!H9/'Interim Cash Flow US$'!H$7</f>
        <v>0</v>
      </c>
      <c r="I9" s="58">
        <f>'Interim Cash Flow Reported'!I9/'Interim Cash Flow US$'!I$7</f>
        <v>0</v>
      </c>
      <c r="J9" s="58">
        <f>'Interim Cash Flow Reported'!J9/'Interim Cash Flow US$'!J$7</f>
        <v>0</v>
      </c>
      <c r="K9" s="58">
        <f>'Interim Cash Flow Reported'!K9/'Interim Cash Flow US$'!K$7</f>
        <v>0</v>
      </c>
      <c r="L9" s="58">
        <f>'Interim Cash Flow Reported'!L9/'Interim Cash Flow US$'!L$7</f>
        <v>0</v>
      </c>
      <c r="M9" s="58">
        <f>'Interim Cash Flow Reported'!M9/'Interim Cash Flow US$'!M$7</f>
        <v>0</v>
      </c>
      <c r="N9" s="58">
        <f>'Interim Cash Flow Reported'!N9/'Interim Cash Flow US$'!N$7</f>
        <v>0</v>
      </c>
      <c r="O9" s="58">
        <f>'Interim Cash Flow Reported'!O9/'Interim Cash Flow US$'!O$7</f>
        <v>0</v>
      </c>
      <c r="P9" s="58">
        <f>'Interim Cash Flow Reported'!P9/'Interim Cash Flow US$'!P$7</f>
        <v>0</v>
      </c>
      <c r="Q9" s="58">
        <f>'Interim Cash Flow Reported'!Q9/'Interim Cash Flow US$'!Q$7</f>
        <v>0</v>
      </c>
      <c r="R9" s="58">
        <f>'Interim Cash Flow Reported'!R9/'Interim Cash Flow US$'!R$7</f>
        <v>0</v>
      </c>
      <c r="S9" s="58">
        <f>'Interim Cash Flow Reported'!S9/'Interim Cash Flow US$'!S$7</f>
        <v>0</v>
      </c>
      <c r="T9" s="58">
        <f>'Interim Cash Flow Reported'!T9/'Interim Cash Flow US$'!T$7</f>
        <v>0</v>
      </c>
      <c r="U9" s="58">
        <f>'Interim Cash Flow Reported'!U9/'Interim Cash Flow US$'!U$7</f>
        <v>0</v>
      </c>
      <c r="V9" s="58">
        <f>'Interim Cash Flow Reported'!V9/'Interim Cash Flow US$'!V$7</f>
        <v>0</v>
      </c>
      <c r="W9" s="58">
        <f>'Interim Cash Flow Reported'!W9/'Interim Cash Flow US$'!W$7</f>
        <v>0</v>
      </c>
      <c r="X9" s="58">
        <f>'Interim Cash Flow Reported'!X9/'Interim Cash Flow US$'!X$7</f>
        <v>0</v>
      </c>
      <c r="Y9" s="58">
        <f>'Interim Cash Flow Reported'!Y9/'Interim Cash Flow US$'!Y$7</f>
        <v>0</v>
      </c>
      <c r="Z9" s="58">
        <f>'Interim Cash Flow Reported'!Z9/'Interim Cash Flow US$'!Z$7</f>
        <v>0</v>
      </c>
      <c r="AA9" s="58">
        <f>'Interim Cash Flow Reported'!AA9/'Interim Cash Flow US$'!AA$7</f>
        <v>0</v>
      </c>
      <c r="AB9" s="58">
        <f>'Interim Cash Flow Reported'!AB9/'Interim Cash Flow US$'!AB$7</f>
        <v>0</v>
      </c>
    </row>
    <row r="10" spans="1:28" x14ac:dyDescent="0.3">
      <c r="A10" s="85" t="s">
        <v>185</v>
      </c>
      <c r="B10" s="58">
        <f>'Interim Cash Flow Reported'!B10/'Interim Cash Flow US$'!B$7</f>
        <v>0</v>
      </c>
      <c r="C10" s="58">
        <f>'Interim Cash Flow Reported'!C10/'Interim Cash Flow US$'!C$7</f>
        <v>0</v>
      </c>
      <c r="D10" s="58">
        <f>'Interim Cash Flow Reported'!D10/'Interim Cash Flow US$'!D$7</f>
        <v>0</v>
      </c>
      <c r="E10" s="58">
        <f>'Interim Cash Flow Reported'!E10/'Interim Cash Flow US$'!E$7</f>
        <v>0</v>
      </c>
      <c r="F10" s="58">
        <f>'Interim Cash Flow Reported'!F10/'Interim Cash Flow US$'!F$7</f>
        <v>0</v>
      </c>
      <c r="G10" s="58">
        <f>'Interim Cash Flow Reported'!G10/'Interim Cash Flow US$'!G$7</f>
        <v>0</v>
      </c>
      <c r="H10" s="58">
        <f>'Interim Cash Flow Reported'!H10/'Interim Cash Flow US$'!H$7</f>
        <v>0</v>
      </c>
      <c r="I10" s="58">
        <f>'Interim Cash Flow Reported'!I10/'Interim Cash Flow US$'!I$7</f>
        <v>0</v>
      </c>
      <c r="J10" s="58">
        <f>'Interim Cash Flow Reported'!J10/'Interim Cash Flow US$'!J$7</f>
        <v>0</v>
      </c>
      <c r="K10" s="58">
        <f>'Interim Cash Flow Reported'!K10/'Interim Cash Flow US$'!K$7</f>
        <v>0</v>
      </c>
      <c r="L10" s="58">
        <f>'Interim Cash Flow Reported'!L10/'Interim Cash Flow US$'!L$7</f>
        <v>0</v>
      </c>
      <c r="M10" s="58">
        <f>'Interim Cash Flow Reported'!M10/'Interim Cash Flow US$'!M$7</f>
        <v>0</v>
      </c>
      <c r="N10" s="58">
        <f>'Interim Cash Flow Reported'!N10/'Interim Cash Flow US$'!N$7</f>
        <v>0</v>
      </c>
      <c r="O10" s="58">
        <f>'Interim Cash Flow Reported'!O10/'Interim Cash Flow US$'!O$7</f>
        <v>0</v>
      </c>
      <c r="P10" s="58">
        <f>'Interim Cash Flow Reported'!P10/'Interim Cash Flow US$'!P$7</f>
        <v>0</v>
      </c>
      <c r="Q10" s="58">
        <f>'Interim Cash Flow Reported'!Q10/'Interim Cash Flow US$'!Q$7</f>
        <v>0</v>
      </c>
      <c r="R10" s="58">
        <f>'Interim Cash Flow Reported'!R10/'Interim Cash Flow US$'!R$7</f>
        <v>0</v>
      </c>
      <c r="S10" s="58">
        <f>'Interim Cash Flow Reported'!S10/'Interim Cash Flow US$'!S$7</f>
        <v>0</v>
      </c>
      <c r="T10" s="58">
        <f>'Interim Cash Flow Reported'!T10/'Interim Cash Flow US$'!T$7</f>
        <v>0</v>
      </c>
      <c r="U10" s="58">
        <f>'Interim Cash Flow Reported'!U10/'Interim Cash Flow US$'!U$7</f>
        <v>0</v>
      </c>
      <c r="V10" s="58">
        <f>'Interim Cash Flow Reported'!V10/'Interim Cash Flow US$'!V$7</f>
        <v>0</v>
      </c>
      <c r="W10" s="58">
        <f>'Interim Cash Flow Reported'!W10/'Interim Cash Flow US$'!W$7</f>
        <v>0</v>
      </c>
      <c r="X10" s="58">
        <f>'Interim Cash Flow Reported'!X10/'Interim Cash Flow US$'!X$7</f>
        <v>0</v>
      </c>
      <c r="Y10" s="58">
        <f>'Interim Cash Flow Reported'!Y10/'Interim Cash Flow US$'!Y$7</f>
        <v>0</v>
      </c>
      <c r="Z10" s="58">
        <f>'Interim Cash Flow Reported'!Z10/'Interim Cash Flow US$'!Z$7</f>
        <v>0</v>
      </c>
      <c r="AA10" s="58">
        <f>'Interim Cash Flow Reported'!AA10/'Interim Cash Flow US$'!AA$7</f>
        <v>0</v>
      </c>
      <c r="AB10" s="58">
        <f>'Interim Cash Flow Reported'!AB10/'Interim Cash Flow US$'!AB$7</f>
        <v>0</v>
      </c>
    </row>
    <row r="11" spans="1:28" x14ac:dyDescent="0.3">
      <c r="A11" s="85" t="s">
        <v>186</v>
      </c>
      <c r="B11" s="60">
        <f>'Interim Cash Flow Reported'!B11/'Interim Cash Flow US$'!B$7</f>
        <v>448.99178732648005</v>
      </c>
      <c r="C11" s="60">
        <f>'Interim Cash Flow Reported'!C11/'Interim Cash Flow US$'!C$7</f>
        <v>90.268120715313856</v>
      </c>
      <c r="D11" s="60">
        <f>'Interim Cash Flow Reported'!D11/'Interim Cash Flow US$'!D$7</f>
        <v>-344.41323465256357</v>
      </c>
      <c r="E11" s="60">
        <f>'Interim Cash Flow Reported'!E11/'Interim Cash Flow US$'!E$7</f>
        <v>-162.60040762498502</v>
      </c>
      <c r="F11" s="60">
        <f>'Interim Cash Flow Reported'!F11/'Interim Cash Flow US$'!F$7</f>
        <v>0</v>
      </c>
      <c r="G11" s="60">
        <f>'Interim Cash Flow Reported'!G11/'Interim Cash Flow US$'!G$7</f>
        <v>222.66531153747684</v>
      </c>
      <c r="H11" s="60">
        <f>'Interim Cash Flow Reported'!H11/'Interim Cash Flow US$'!H$7</f>
        <v>-492.49369040404434</v>
      </c>
      <c r="I11" s="60">
        <f>'Interim Cash Flow Reported'!I11/'Interim Cash Flow US$'!I$7</f>
        <v>266.01723491944546</v>
      </c>
      <c r="J11" s="60">
        <f>'Interim Cash Flow Reported'!J11/'Interim Cash Flow US$'!J$7</f>
        <v>637.59707491010181</v>
      </c>
      <c r="K11" s="60">
        <f>'Interim Cash Flow Reported'!K11/'Interim Cash Flow US$'!K$7</f>
        <v>254.63994060876021</v>
      </c>
      <c r="L11" s="60">
        <f>'Interim Cash Flow Reported'!L11/'Interim Cash Flow US$'!L$7</f>
        <v>-550.31822749676985</v>
      </c>
      <c r="M11" s="60">
        <f>'Interim Cash Flow Reported'!M11/'Interim Cash Flow US$'!M$7</f>
        <v>-391.20162656562388</v>
      </c>
      <c r="N11" s="60">
        <f>'Interim Cash Flow Reported'!N11/'Interim Cash Flow US$'!N$7</f>
        <v>654.22605458228929</v>
      </c>
      <c r="O11" s="60">
        <f>'Interim Cash Flow Reported'!O11/'Interim Cash Flow US$'!O$7</f>
        <v>297.49542463717415</v>
      </c>
      <c r="P11" s="60">
        <f>'Interim Cash Flow Reported'!P11/'Interim Cash Flow US$'!P$7</f>
        <v>-629.64190977529802</v>
      </c>
      <c r="Q11" s="60">
        <f>'Interim Cash Flow Reported'!Q11/'Interim Cash Flow US$'!Q$7</f>
        <v>-293.7613567534828</v>
      </c>
      <c r="R11" s="60">
        <f>'Interim Cash Flow Reported'!R11/'Interim Cash Flow US$'!R$7</f>
        <v>705.40321092886143</v>
      </c>
      <c r="S11" s="60">
        <f>'Interim Cash Flow Reported'!S11/'Interim Cash Flow US$'!S$7</f>
        <v>165.95210274999764</v>
      </c>
      <c r="T11" s="60">
        <f>'Interim Cash Flow Reported'!T11/'Interim Cash Flow US$'!T$7</f>
        <v>-433.97334973537926</v>
      </c>
      <c r="U11" s="60">
        <f>'Interim Cash Flow Reported'!U11/'Interim Cash Flow US$'!U$7</f>
        <v>-444.6938366267571</v>
      </c>
      <c r="V11" s="60">
        <f>'Interim Cash Flow Reported'!V11/'Interim Cash Flow US$'!V$7</f>
        <v>-73.041953907048907</v>
      </c>
      <c r="W11" s="60">
        <f>'Interim Cash Flow Reported'!W11/'Interim Cash Flow US$'!W$7</f>
        <v>-396.59590914925127</v>
      </c>
      <c r="X11" s="60">
        <f>'Interim Cash Flow Reported'!X11/'Interim Cash Flow US$'!X$7</f>
        <v>225.30393724207158</v>
      </c>
      <c r="Y11" s="60">
        <f>'Interim Cash Flow Reported'!Y11/'Interim Cash Flow US$'!Y$7</f>
        <v>258.98956534794684</v>
      </c>
      <c r="Z11" s="60">
        <f>'Interim Cash Flow Reported'!Z11/'Interim Cash Flow US$'!Z$7</f>
        <v>78.037473440216345</v>
      </c>
      <c r="AA11" s="60">
        <f>'Interim Cash Flow Reported'!AA11/'Interim Cash Flow US$'!AA$7</f>
        <v>120.19230769230769</v>
      </c>
      <c r="AB11" s="60">
        <f>'Interim Cash Flow Reported'!AB11/'Interim Cash Flow US$'!AB$7</f>
        <v>108.45295055821371</v>
      </c>
    </row>
    <row r="12" spans="1:28" x14ac:dyDescent="0.3">
      <c r="A12" s="14" t="s">
        <v>187</v>
      </c>
      <c r="B12" s="97">
        <f t="shared" ref="B12:K12" si="0">SUM(B9:B11)</f>
        <v>448.99178732648005</v>
      </c>
      <c r="C12" s="97">
        <f t="shared" si="0"/>
        <v>90.268120715313856</v>
      </c>
      <c r="D12" s="97">
        <f t="shared" si="0"/>
        <v>-344.41323465256357</v>
      </c>
      <c r="E12" s="97">
        <f t="shared" si="0"/>
        <v>-162.60040762498502</v>
      </c>
      <c r="F12" s="97">
        <f t="shared" si="0"/>
        <v>0</v>
      </c>
      <c r="G12" s="97">
        <f t="shared" si="0"/>
        <v>222.66531153747684</v>
      </c>
      <c r="H12" s="97">
        <f t="shared" si="0"/>
        <v>-492.49369040404434</v>
      </c>
      <c r="I12" s="97">
        <f t="shared" si="0"/>
        <v>266.01723491944546</v>
      </c>
      <c r="J12" s="97">
        <f t="shared" si="0"/>
        <v>637.59707491010181</v>
      </c>
      <c r="K12" s="97">
        <f t="shared" si="0"/>
        <v>254.63994060876021</v>
      </c>
      <c r="L12" s="97">
        <f t="shared" ref="L12:M12" si="1">SUM(L9:L11)</f>
        <v>-550.31822749676985</v>
      </c>
      <c r="M12" s="97">
        <f t="shared" si="1"/>
        <v>-391.20162656562388</v>
      </c>
      <c r="N12" s="97">
        <f t="shared" ref="N12:O12" si="2">SUM(N9:N11)</f>
        <v>654.22605458228929</v>
      </c>
      <c r="O12" s="97">
        <f t="shared" si="2"/>
        <v>297.49542463717415</v>
      </c>
      <c r="P12" s="97">
        <f t="shared" ref="P12:Q12" si="3">SUM(P9:P11)</f>
        <v>-629.64190977529802</v>
      </c>
      <c r="Q12" s="97">
        <f t="shared" si="3"/>
        <v>-293.7613567534828</v>
      </c>
      <c r="R12" s="97">
        <f t="shared" ref="R12:S12" si="4">SUM(R9:R11)</f>
        <v>705.40321092886143</v>
      </c>
      <c r="S12" s="97">
        <f t="shared" si="4"/>
        <v>165.95210274999764</v>
      </c>
      <c r="T12" s="97">
        <f t="shared" ref="T12:U12" si="5">SUM(T9:T11)</f>
        <v>-433.97334973537926</v>
      </c>
      <c r="U12" s="97">
        <f t="shared" si="5"/>
        <v>-444.6938366267571</v>
      </c>
      <c r="V12" s="97">
        <f t="shared" ref="V12:Y12" si="6">SUM(V9:V11)</f>
        <v>-73.041953907048907</v>
      </c>
      <c r="W12" s="97">
        <f t="shared" si="6"/>
        <v>-396.59590914925127</v>
      </c>
      <c r="X12" s="97">
        <f t="shared" si="6"/>
        <v>225.30393724207158</v>
      </c>
      <c r="Y12" s="97">
        <f t="shared" si="6"/>
        <v>258.98956534794684</v>
      </c>
      <c r="Z12" s="97">
        <f t="shared" ref="Z12:AB12" si="7">SUM(Z9:Z11)</f>
        <v>78.037473440216345</v>
      </c>
      <c r="AA12" s="97">
        <f t="shared" si="7"/>
        <v>120.19230769230769</v>
      </c>
      <c r="AB12" s="97">
        <f t="shared" si="7"/>
        <v>108.45295055821371</v>
      </c>
    </row>
    <row r="13" spans="1:28" x14ac:dyDescent="0.3">
      <c r="A13" s="14" t="s">
        <v>188</v>
      </c>
      <c r="B13" s="74">
        <f t="shared" ref="B13:K13" si="8">B8+B12</f>
        <v>680.75553366227098</v>
      </c>
      <c r="C13" s="74">
        <f t="shared" si="8"/>
        <v>416.37187212829457</v>
      </c>
      <c r="D13" s="74">
        <f t="shared" si="8"/>
        <v>345.94396013990831</v>
      </c>
      <c r="E13" s="74">
        <f t="shared" si="8"/>
        <v>-11.23965951324783</v>
      </c>
      <c r="F13" s="74">
        <f t="shared" si="8"/>
        <v>205.2237448239224</v>
      </c>
      <c r="G13" s="74">
        <f t="shared" si="8"/>
        <v>509.725120836663</v>
      </c>
      <c r="H13" s="74">
        <f t="shared" si="8"/>
        <v>336.00036821958162</v>
      </c>
      <c r="I13" s="74">
        <f t="shared" si="8"/>
        <v>526.03971524915687</v>
      </c>
      <c r="J13" s="74">
        <f t="shared" si="8"/>
        <v>775.84383404345328</v>
      </c>
      <c r="K13" s="74">
        <f t="shared" si="8"/>
        <v>615.44172234595396</v>
      </c>
      <c r="L13" s="74">
        <f t="shared" ref="L13:O13" si="9">L8+L12</f>
        <v>393.19838573319942</v>
      </c>
      <c r="M13" s="74">
        <f t="shared" si="9"/>
        <v>306.1920175734964</v>
      </c>
      <c r="N13" s="74">
        <f t="shared" si="9"/>
        <v>878.89376861054825</v>
      </c>
      <c r="O13" s="74">
        <f t="shared" si="9"/>
        <v>660.84270108205612</v>
      </c>
      <c r="P13" s="74">
        <f t="shared" ref="P13:S13" si="10">P8+P12</f>
        <v>283.8361464479168</v>
      </c>
      <c r="Q13" s="74">
        <f t="shared" si="10"/>
        <v>272.56208358570564</v>
      </c>
      <c r="R13" s="74">
        <f t="shared" si="10"/>
        <v>2339.5622486137399</v>
      </c>
      <c r="S13" s="74">
        <f t="shared" si="10"/>
        <v>814.80987386260097</v>
      </c>
      <c r="T13" s="74">
        <f t="shared" ref="T13:U13" si="11">T8+T12</f>
        <v>631.64707448395507</v>
      </c>
      <c r="U13" s="74">
        <f t="shared" si="11"/>
        <v>512.8751744400588</v>
      </c>
      <c r="V13" s="74">
        <f t="shared" ref="V13:Y13" si="12">V8+V12</f>
        <v>-14.906521205520185</v>
      </c>
      <c r="W13" s="74">
        <f t="shared" si="12"/>
        <v>-902.07542244675153</v>
      </c>
      <c r="X13" s="74">
        <f t="shared" si="12"/>
        <v>-212.66312228129533</v>
      </c>
      <c r="Y13" s="74">
        <f t="shared" si="12"/>
        <v>-597.55273628105999</v>
      </c>
      <c r="Z13" s="74">
        <f t="shared" ref="Z13:AB13" si="13">Z8+Z12</f>
        <v>-608.07417423218089</v>
      </c>
      <c r="AA13" s="74">
        <f t="shared" si="13"/>
        <v>-983.17307692307679</v>
      </c>
      <c r="AB13" s="74">
        <f t="shared" si="13"/>
        <v>322.96650717703346</v>
      </c>
    </row>
    <row r="14" spans="1:28" x14ac:dyDescent="0.3">
      <c r="A14" s="85" t="s">
        <v>189</v>
      </c>
      <c r="B14" s="58">
        <f>'Interim Cash Flow Reported'!B14/'Interim Cash Flow US$'!B$7</f>
        <v>-343.20415398157195</v>
      </c>
      <c r="C14" s="58">
        <f>'Interim Cash Flow Reported'!C14/'Interim Cash Flow US$'!C$7</f>
        <v>-170.77752567762082</v>
      </c>
      <c r="D14" s="58">
        <f>'Interim Cash Flow Reported'!D14/'Interim Cash Flow US$'!D$7</f>
        <v>-433.19531291855776</v>
      </c>
      <c r="E14" s="58">
        <f>'Interim Cash Flow Reported'!E14/'Interim Cash Flow US$'!E$7</f>
        <v>-460.07672940894378</v>
      </c>
      <c r="F14" s="58">
        <f>'Interim Cash Flow Reported'!F14/'Interim Cash Flow US$'!F$7</f>
        <v>-812.16205398403338</v>
      </c>
      <c r="G14" s="58">
        <f>'Interim Cash Flow Reported'!G14/'Interim Cash Flow US$'!G$7</f>
        <v>-1126.5157921686982</v>
      </c>
      <c r="H14" s="58">
        <f>'Interim Cash Flow Reported'!H14/'Interim Cash Flow US$'!H$7</f>
        <v>-94.35626778769074</v>
      </c>
      <c r="I14" s="58">
        <f>'Interim Cash Flow Reported'!I14/'Interim Cash Flow US$'!I$7</f>
        <v>-172.34919445485201</v>
      </c>
      <c r="J14" s="58">
        <f>'Interim Cash Flow Reported'!J14/'Interim Cash Flow US$'!J$7</f>
        <v>-699.54371015018285</v>
      </c>
      <c r="K14" s="58">
        <f>'Interim Cash Flow Reported'!K14/'Interim Cash Flow US$'!K$7</f>
        <v>-664.43949517446174</v>
      </c>
      <c r="L14" s="58">
        <f>'Interim Cash Flow Reported'!L14/'Interim Cash Flow US$'!L$7</f>
        <v>-134.78808760428132</v>
      </c>
      <c r="M14" s="58">
        <f>'Interim Cash Flow Reported'!M14/'Interim Cash Flow US$'!M$7</f>
        <v>-340.0384359685101</v>
      </c>
      <c r="N14" s="58">
        <f>'Interim Cash Flow Reported'!N14/'Interim Cash Flow US$'!N$7</f>
        <v>-726.21465309134419</v>
      </c>
      <c r="O14" s="58">
        <f>'Interim Cash Flow Reported'!O14/'Interim Cash Flow US$'!O$7</f>
        <v>-670.91416077029373</v>
      </c>
      <c r="P14" s="58">
        <f>'Interim Cash Flow Reported'!P14/'Interim Cash Flow US$'!P$7</f>
        <v>-148.4210577113096</v>
      </c>
      <c r="Q14" s="58">
        <f>'Interim Cash Flow Reported'!Q14/'Interim Cash Flow US$'!Q$7</f>
        <v>-165.80860084797095</v>
      </c>
      <c r="R14" s="58">
        <f>'Interim Cash Flow Reported'!R14/'Interim Cash Flow US$'!R$7</f>
        <v>-691.86668875751877</v>
      </c>
      <c r="S14" s="58">
        <f>'Interim Cash Flow Reported'!S14/'Interim Cash Flow US$'!S$7</f>
        <v>-413.38519288625537</v>
      </c>
      <c r="T14" s="58">
        <f>'Interim Cash Flow Reported'!T14/'Interim Cash Flow US$'!T$7</f>
        <v>-227.96854846483274</v>
      </c>
      <c r="U14" s="58">
        <f>'Interim Cash Flow Reported'!U14/'Interim Cash Flow US$'!U$7</f>
        <v>-190.15017545709716</v>
      </c>
      <c r="V14" s="58">
        <f>'Interim Cash Flow Reported'!V14/'Interim Cash Flow US$'!V$7</f>
        <v>-278.00662048295146</v>
      </c>
      <c r="W14" s="58">
        <f>'Interim Cash Flow Reported'!W14/'Interim Cash Flow US$'!W$7</f>
        <v>-152.86969589025685</v>
      </c>
      <c r="X14" s="58">
        <f>'Interim Cash Flow Reported'!X14/'Interim Cash Flow US$'!X$7</f>
        <v>-209.68881287875971</v>
      </c>
      <c r="Y14" s="58">
        <f>'Interim Cash Flow Reported'!Y14/'Interim Cash Flow US$'!Y$7</f>
        <v>-251.48262142481795</v>
      </c>
      <c r="Z14" s="58">
        <f>'Interim Cash Flow Reported'!Z14/'Interim Cash Flow US$'!Z$7</f>
        <v>-216.34151052733245</v>
      </c>
      <c r="AA14" s="58">
        <f>'Interim Cash Flow Reported'!AA14/'Interim Cash Flow US$'!AA$7</f>
        <v>-213.14102564102564</v>
      </c>
      <c r="AB14" s="58">
        <f>'Interim Cash Flow Reported'!AB14/'Interim Cash Flow US$'!AB$7</f>
        <v>-118.81977671451355</v>
      </c>
    </row>
    <row r="15" spans="1:28" x14ac:dyDescent="0.3">
      <c r="A15" s="85" t="s">
        <v>190</v>
      </c>
      <c r="B15" s="58">
        <f>'Interim Cash Flow Reported'!B15/'Interim Cash Flow US$'!B$7</f>
        <v>0.80753918583899287</v>
      </c>
      <c r="C15" s="58">
        <f>'Interim Cash Flow Reported'!C15/'Interim Cash Flow US$'!C$7</f>
        <v>7.3190368147551776</v>
      </c>
      <c r="D15" s="58">
        <f>'Interim Cash Flow Reported'!D15/'Interim Cash Flow US$'!D$7</f>
        <v>5.3575392057065443</v>
      </c>
      <c r="E15" s="58">
        <f>'Interim Cash Flow Reported'!E15/'Interim Cash Flow US$'!E$7</f>
        <v>4.4958638052991251</v>
      </c>
      <c r="F15" s="58">
        <f>'Interim Cash Flow Reported'!F15/'Interim Cash Flow US$'!F$7</f>
        <v>104.79510373987527</v>
      </c>
      <c r="G15" s="58">
        <f>'Interim Cash Flow Reported'!G15/'Interim Cash Flow US$'!G$7</f>
        <v>116.37559836453494</v>
      </c>
      <c r="H15" s="58">
        <f>'Interim Cash Flow Reported'!H15/'Interim Cash Flow US$'!H$7</f>
        <v>42.191827059536507</v>
      </c>
      <c r="I15" s="58">
        <f>'Interim Cash Flow Reported'!I15/'Interim Cash Flow US$'!I$7</f>
        <v>2.2480329711502436</v>
      </c>
      <c r="J15" s="58">
        <f>'Interim Cash Flow Reported'!J15/'Interim Cash Flow US$'!J$7</f>
        <v>0.75544677122049975</v>
      </c>
      <c r="K15" s="58">
        <f>'Interim Cash Flow Reported'!K15/'Interim Cash Flow US$'!K$7</f>
        <v>0.74239049740163332</v>
      </c>
      <c r="L15" s="58">
        <f>'Interim Cash Flow Reported'!L15/'Interim Cash Flow US$'!L$7</f>
        <v>0.79756264854604331</v>
      </c>
      <c r="M15" s="58">
        <f>'Interim Cash Flow Reported'!M15/'Interim Cash Flow US$'!M$7</f>
        <v>1.574252018372732</v>
      </c>
      <c r="N15" s="58">
        <f>'Interim Cash Flow Reported'!N15/'Interim Cash Flow US$'!N$7</f>
        <v>0.79108350009950346</v>
      </c>
      <c r="O15" s="58">
        <f>'Interim Cash Flow Reported'!O15/'Interim Cash Flow US$'!O$7</f>
        <v>3.8736383416298716</v>
      </c>
      <c r="P15" s="58">
        <f>'Interim Cash Flow Reported'!P15/'Interim Cash Flow US$'!P$7</f>
        <v>3.0602279940476209</v>
      </c>
      <c r="Q15" s="58">
        <f>'Interim Cash Flow Reported'!Q15/'Interim Cash Flow US$'!Q$7</f>
        <v>0.75711689884918243</v>
      </c>
      <c r="R15" s="58">
        <f>'Interim Cash Flow Reported'!R15/'Interim Cash Flow US$'!R$7</f>
        <v>1.5040580190380841</v>
      </c>
      <c r="S15" s="58">
        <f>'Interim Cash Flow Reported'!S15/'Interim Cash Flow US$'!S$7</f>
        <v>0.74753199436935869</v>
      </c>
      <c r="T15" s="58">
        <f>'Interim Cash Flow Reported'!T15/'Interim Cash Flow US$'!T$7</f>
        <v>0</v>
      </c>
      <c r="U15" s="58">
        <f>'Interim Cash Flow Reported'!U15/'Interim Cash Flow US$'!U$7</f>
        <v>15.908978823103746</v>
      </c>
      <c r="V15" s="58">
        <f>'Interim Cash Flow Reported'!V15/'Interim Cash Flow US$'!V$7</f>
        <v>1.4906521205520185</v>
      </c>
      <c r="W15" s="58">
        <f>'Interim Cash Flow Reported'!W15/'Interim Cash Flow US$'!W$7</f>
        <v>1.4421669423609138</v>
      </c>
      <c r="X15" s="58">
        <f>'Interim Cash Flow Reported'!X15/'Interim Cash Flow US$'!X$7</f>
        <v>1.4871547012677993</v>
      </c>
      <c r="Y15" s="58">
        <f>'Interim Cash Flow Reported'!Y15/'Interim Cash Flow US$'!Y$7</f>
        <v>4.504166353877336</v>
      </c>
      <c r="Z15" s="58">
        <f>'Interim Cash Flow Reported'!Z15/'Interim Cash Flow US$'!Z$7</f>
        <v>3.8632412594166508</v>
      </c>
      <c r="AA15" s="58">
        <f>'Interim Cash Flow Reported'!AA15/'Interim Cash Flow US$'!AA$7</f>
        <v>4.8076923076923075</v>
      </c>
      <c r="AB15" s="58">
        <f>'Interim Cash Flow Reported'!AB15/'Interim Cash Flow US$'!AB$7</f>
        <v>3.9872408293460926</v>
      </c>
    </row>
    <row r="16" spans="1:28" x14ac:dyDescent="0.3">
      <c r="A16" s="85" t="s">
        <v>191</v>
      </c>
      <c r="B16" s="58">
        <f>'Interim Cash Flow Reported'!B16/'Interim Cash Flow US$'!B$7</f>
        <v>0</v>
      </c>
      <c r="C16" s="58">
        <f>'Interim Cash Flow Reported'!C16/'Interim Cash Flow US$'!C$7</f>
        <v>0</v>
      </c>
      <c r="D16" s="58">
        <f>'Interim Cash Flow Reported'!D16/'Interim Cash Flow US$'!D$7</f>
        <v>0</v>
      </c>
      <c r="E16" s="58">
        <f>'Interim Cash Flow Reported'!E16/'Interim Cash Flow US$'!E$7</f>
        <v>0</v>
      </c>
      <c r="F16" s="58">
        <f>'Interim Cash Flow Reported'!F16/'Interim Cash Flow US$'!F$7</f>
        <v>0</v>
      </c>
      <c r="G16" s="58">
        <f>'Interim Cash Flow Reported'!G16/'Interim Cash Flow US$'!G$7</f>
        <v>0</v>
      </c>
      <c r="H16" s="58">
        <f>'Interim Cash Flow Reported'!H16/'Interim Cash Flow US$'!H$7</f>
        <v>0</v>
      </c>
      <c r="I16" s="58">
        <f>'Interim Cash Flow Reported'!I16/'Interim Cash Flow US$'!I$7</f>
        <v>0</v>
      </c>
      <c r="J16" s="58">
        <f>'Interim Cash Flow Reported'!J16/'Interim Cash Flow US$'!J$7</f>
        <v>0</v>
      </c>
      <c r="K16" s="58">
        <f>'Interim Cash Flow Reported'!K16/'Interim Cash Flow US$'!K$7</f>
        <v>0</v>
      </c>
      <c r="L16" s="58">
        <f>'Interim Cash Flow Reported'!L16/'Interim Cash Flow US$'!L$7</f>
        <v>0</v>
      </c>
      <c r="M16" s="58">
        <f>'Interim Cash Flow Reported'!M16/'Interim Cash Flow US$'!M$7</f>
        <v>0</v>
      </c>
      <c r="N16" s="58">
        <f>'Interim Cash Flow Reported'!N16/'Interim Cash Flow US$'!N$7</f>
        <v>0</v>
      </c>
      <c r="O16" s="58">
        <f>'Interim Cash Flow Reported'!O16/'Interim Cash Flow US$'!O$7</f>
        <v>0</v>
      </c>
      <c r="P16" s="58">
        <f>'Interim Cash Flow Reported'!P16/'Interim Cash Flow US$'!P$7</f>
        <v>0</v>
      </c>
      <c r="Q16" s="58">
        <f>'Interim Cash Flow Reported'!Q16/'Interim Cash Flow US$'!Q$7</f>
        <v>0</v>
      </c>
      <c r="R16" s="58">
        <f>'Interim Cash Flow Reported'!R16/'Interim Cash Flow US$'!R$7</f>
        <v>0</v>
      </c>
      <c r="S16" s="58">
        <f>'Interim Cash Flow Reported'!S16/'Interim Cash Flow US$'!S$7</f>
        <v>0</v>
      </c>
      <c r="T16" s="58">
        <f>'Interim Cash Flow Reported'!T16/'Interim Cash Flow US$'!T$7</f>
        <v>0</v>
      </c>
      <c r="U16" s="58">
        <f>'Interim Cash Flow Reported'!U16/'Interim Cash Flow US$'!U$7</f>
        <v>0</v>
      </c>
      <c r="V16" s="58">
        <f>'Interim Cash Flow Reported'!V16/'Interim Cash Flow US$'!V$7</f>
        <v>0</v>
      </c>
      <c r="W16" s="58">
        <f>'Interim Cash Flow Reported'!W16/'Interim Cash Flow US$'!W$7</f>
        <v>0</v>
      </c>
      <c r="X16" s="58">
        <f>'Interim Cash Flow Reported'!X16/'Interim Cash Flow US$'!X$7</f>
        <v>0</v>
      </c>
      <c r="Y16" s="58">
        <f>'Interim Cash Flow Reported'!Y16/'Interim Cash Flow US$'!Y$7</f>
        <v>0</v>
      </c>
      <c r="Z16" s="58">
        <f>'Interim Cash Flow Reported'!Z16/'Interim Cash Flow US$'!Z$7</f>
        <v>0</v>
      </c>
      <c r="AA16" s="58">
        <f>'Interim Cash Flow Reported'!AA16/'Interim Cash Flow US$'!AA$7</f>
        <v>0</v>
      </c>
      <c r="AB16" s="58">
        <f>'Interim Cash Flow Reported'!AB16/'Interim Cash Flow US$'!AB$7</f>
        <v>0</v>
      </c>
    </row>
    <row r="17" spans="1:28" x14ac:dyDescent="0.3">
      <c r="A17" s="85" t="s">
        <v>192</v>
      </c>
      <c r="B17" s="58">
        <f>'Interim Cash Flow Reported'!B17/'Interim Cash Flow US$'!B$7</f>
        <v>0</v>
      </c>
      <c r="C17" s="58">
        <f>'Interim Cash Flow Reported'!C17/'Interim Cash Flow US$'!C$7</f>
        <v>0</v>
      </c>
      <c r="D17" s="58">
        <f>'Interim Cash Flow Reported'!D17/'Interim Cash Flow US$'!D$7</f>
        <v>0</v>
      </c>
      <c r="E17" s="58">
        <f>'Interim Cash Flow Reported'!E17/'Interim Cash Flow US$'!E$7</f>
        <v>0</v>
      </c>
      <c r="F17" s="58">
        <f>'Interim Cash Flow Reported'!F17/'Interim Cash Flow US$'!F$7</f>
        <v>0</v>
      </c>
      <c r="G17" s="58">
        <f>'Interim Cash Flow Reported'!G17/'Interim Cash Flow US$'!G$7</f>
        <v>0</v>
      </c>
      <c r="H17" s="58">
        <f>'Interim Cash Flow Reported'!H17/'Interim Cash Flow US$'!H$7</f>
        <v>0</v>
      </c>
      <c r="I17" s="58">
        <f>'Interim Cash Flow Reported'!I17/'Interim Cash Flow US$'!I$7</f>
        <v>0</v>
      </c>
      <c r="J17" s="58">
        <f>'Interim Cash Flow Reported'!J17/'Interim Cash Flow US$'!J$7</f>
        <v>0</v>
      </c>
      <c r="K17" s="58">
        <f>'Interim Cash Flow Reported'!K17/'Interim Cash Flow US$'!K$7</f>
        <v>0</v>
      </c>
      <c r="L17" s="58">
        <f>'Interim Cash Flow Reported'!L17/'Interim Cash Flow US$'!L$7</f>
        <v>0</v>
      </c>
      <c r="M17" s="58">
        <f>'Interim Cash Flow Reported'!M17/'Interim Cash Flow US$'!M$7</f>
        <v>0</v>
      </c>
      <c r="N17" s="58">
        <f>'Interim Cash Flow Reported'!N17/'Interim Cash Flow US$'!N$7</f>
        <v>0</v>
      </c>
      <c r="O17" s="58">
        <f>'Interim Cash Flow Reported'!O17/'Interim Cash Flow US$'!O$7</f>
        <v>0</v>
      </c>
      <c r="P17" s="58">
        <f>'Interim Cash Flow Reported'!P17/'Interim Cash Flow US$'!P$7</f>
        <v>0</v>
      </c>
      <c r="Q17" s="58">
        <f>'Interim Cash Flow Reported'!Q17/'Interim Cash Flow US$'!Q$7</f>
        <v>0</v>
      </c>
      <c r="R17" s="58">
        <f>'Interim Cash Flow Reported'!R17/'Interim Cash Flow US$'!R$7</f>
        <v>-446.70523165431098</v>
      </c>
      <c r="S17" s="58">
        <f>'Interim Cash Flow Reported'!S17/'Interim Cash Flow US$'!S$7</f>
        <v>-14.950639887387174</v>
      </c>
      <c r="T17" s="58">
        <f>'Interim Cash Flow Reported'!T17/'Interim Cash Flow US$'!T$7</f>
        <v>0</v>
      </c>
      <c r="U17" s="58">
        <f>'Interim Cash Flow Reported'!U17/'Interim Cash Flow US$'!U$7</f>
        <v>0</v>
      </c>
      <c r="V17" s="58">
        <f>'Interim Cash Flow Reported'!V17/'Interim Cash Flow US$'!V$7</f>
        <v>304.09303259261179</v>
      </c>
      <c r="W17" s="58">
        <f>'Interim Cash Flow Reported'!W17/'Interim Cash Flow US$'!W$7</f>
        <v>-80.761348772211164</v>
      </c>
      <c r="X17" s="58">
        <f>'Interim Cash Flow Reported'!X17/'Interim Cash Flow US$'!X$7</f>
        <v>0</v>
      </c>
      <c r="Y17" s="58">
        <f>'Interim Cash Flow Reported'!Y17/'Interim Cash Flow US$'!Y$7</f>
        <v>-222.20554012461525</v>
      </c>
      <c r="Z17" s="58">
        <f>'Interim Cash Flow Reported'!Z17/'Interim Cash Flow US$'!Z$7</f>
        <v>0</v>
      </c>
      <c r="AA17" s="58">
        <f>'Interim Cash Flow Reported'!AA17/'Interim Cash Flow US$'!AA$7</f>
        <v>0</v>
      </c>
      <c r="AB17" s="58">
        <f>'Interim Cash Flow Reported'!AB17/'Interim Cash Flow US$'!AB$7</f>
        <v>0</v>
      </c>
    </row>
    <row r="18" spans="1:28" x14ac:dyDescent="0.3">
      <c r="A18" s="85" t="s">
        <v>193</v>
      </c>
      <c r="B18" s="58">
        <f>'Interim Cash Flow Reported'!B18/'Interim Cash Flow US$'!B$7</f>
        <v>0</v>
      </c>
      <c r="C18" s="58">
        <f>'Interim Cash Flow Reported'!C18/'Interim Cash Flow US$'!C$7</f>
        <v>0</v>
      </c>
      <c r="D18" s="58">
        <f>'Interim Cash Flow Reported'!D18/'Interim Cash Flow US$'!D$7</f>
        <v>0</v>
      </c>
      <c r="E18" s="58">
        <f>'Interim Cash Flow Reported'!E18/'Interim Cash Flow US$'!E$7</f>
        <v>0</v>
      </c>
      <c r="F18" s="58">
        <f>'Interim Cash Flow Reported'!F18/'Interim Cash Flow US$'!F$7</f>
        <v>0</v>
      </c>
      <c r="G18" s="58">
        <f>'Interim Cash Flow Reported'!G18/'Interim Cash Flow US$'!G$7</f>
        <v>0</v>
      </c>
      <c r="H18" s="58">
        <f>'Interim Cash Flow Reported'!H18/'Interim Cash Flow US$'!H$7</f>
        <v>0</v>
      </c>
      <c r="I18" s="58">
        <f>'Interim Cash Flow Reported'!I18/'Interim Cash Flow US$'!I$7</f>
        <v>0</v>
      </c>
      <c r="J18" s="58">
        <f>'Interim Cash Flow Reported'!J18/'Interim Cash Flow US$'!J$7</f>
        <v>0</v>
      </c>
      <c r="K18" s="58">
        <f>'Interim Cash Flow Reported'!K18/'Interim Cash Flow US$'!K$7</f>
        <v>0</v>
      </c>
      <c r="L18" s="58">
        <f>'Interim Cash Flow Reported'!L18/'Interim Cash Flow US$'!L$7</f>
        <v>0</v>
      </c>
      <c r="M18" s="58">
        <f>'Interim Cash Flow Reported'!M18/'Interim Cash Flow US$'!M$7</f>
        <v>0</v>
      </c>
      <c r="N18" s="58">
        <f>'Interim Cash Flow Reported'!N18/'Interim Cash Flow US$'!N$7</f>
        <v>0</v>
      </c>
      <c r="O18" s="58">
        <f>'Interim Cash Flow Reported'!O18/'Interim Cash Flow US$'!O$7</f>
        <v>0</v>
      </c>
      <c r="P18" s="58">
        <f>'Interim Cash Flow Reported'!P18/'Interim Cash Flow US$'!P$7</f>
        <v>0</v>
      </c>
      <c r="Q18" s="58">
        <f>'Interim Cash Flow Reported'!Q18/'Interim Cash Flow US$'!Q$7</f>
        <v>0</v>
      </c>
      <c r="R18" s="58">
        <f>'Interim Cash Flow Reported'!R18/'Interim Cash Flow US$'!R$7</f>
        <v>0</v>
      </c>
      <c r="S18" s="58">
        <f>'Interim Cash Flow Reported'!S18/'Interim Cash Flow US$'!S$7</f>
        <v>0</v>
      </c>
      <c r="T18" s="58">
        <f>'Interim Cash Flow Reported'!T18/'Interim Cash Flow US$'!T$7</f>
        <v>0</v>
      </c>
      <c r="U18" s="58">
        <f>'Interim Cash Flow Reported'!U18/'Interim Cash Flow US$'!U$7</f>
        <v>0</v>
      </c>
      <c r="V18" s="58">
        <f>'Interim Cash Flow Reported'!V18/'Interim Cash Flow US$'!V$7</f>
        <v>0</v>
      </c>
      <c r="W18" s="58">
        <f>'Interim Cash Flow Reported'!W18/'Interim Cash Flow US$'!W$7</f>
        <v>0</v>
      </c>
      <c r="X18" s="58">
        <f>'Interim Cash Flow Reported'!X18/'Interim Cash Flow US$'!X$7</f>
        <v>0</v>
      </c>
      <c r="Y18" s="58">
        <f>'Interim Cash Flow Reported'!Y18/'Interim Cash Flow US$'!Y$7</f>
        <v>0</v>
      </c>
      <c r="Z18" s="58">
        <f>'Interim Cash Flow Reported'!Z18/'Interim Cash Flow US$'!Z$7</f>
        <v>0</v>
      </c>
      <c r="AA18" s="58">
        <f>'Interim Cash Flow Reported'!AA18/'Interim Cash Flow US$'!AA$7</f>
        <v>0</v>
      </c>
      <c r="AB18" s="58">
        <f>'Interim Cash Flow Reported'!AB18/'Interim Cash Flow US$'!AB$7</f>
        <v>0</v>
      </c>
    </row>
    <row r="19" spans="1:28" x14ac:dyDescent="0.3">
      <c r="A19" s="85" t="s">
        <v>194</v>
      </c>
      <c r="B19" s="58">
        <f>'Interim Cash Flow Reported'!B19/'Interim Cash Flow US$'!B$7</f>
        <v>-121.93841706168793</v>
      </c>
      <c r="C19" s="58">
        <f>'Interim Cash Flow Reported'!C19/'Interim Cash Flow US$'!C$7</f>
        <v>-113.03845747232997</v>
      </c>
      <c r="D19" s="58">
        <f>'Interim Cash Flow Reported'!D19/'Interim Cash Flow US$'!D$7</f>
        <v>-173.73734281362653</v>
      </c>
      <c r="E19" s="58">
        <f>'Interim Cash Flow Reported'!E19/'Interim Cash Flow US$'!E$7</f>
        <v>89.167965471765982</v>
      </c>
      <c r="F19" s="58">
        <f>'Interim Cash Flow Reported'!F19/'Interim Cash Flow US$'!F$7</f>
        <v>26.198775934968818</v>
      </c>
      <c r="G19" s="58">
        <f>'Interim Cash Flow Reported'!G19/'Interim Cash Flow US$'!G$7</f>
        <v>-177.66674683652332</v>
      </c>
      <c r="H19" s="58">
        <f>'Interim Cash Flow Reported'!H19/'Interim Cash Flow US$'!H$7</f>
        <v>-110.46587448315013</v>
      </c>
      <c r="I19" s="58">
        <f>'Interim Cash Flow Reported'!I19/'Interim Cash Flow US$'!I$7</f>
        <v>178.343949044586</v>
      </c>
      <c r="J19" s="58">
        <f>'Interim Cash Flow Reported'!J19/'Interim Cash Flow US$'!J$7</f>
        <v>-122.38237693772096</v>
      </c>
      <c r="K19" s="58">
        <f>'Interim Cash Flow Reported'!K19/'Interim Cash Flow US$'!K$7</f>
        <v>-306.60727542687454</v>
      </c>
      <c r="L19" s="58">
        <f>'Interim Cash Flow Reported'!L19/'Interim Cash Flow US$'!L$7</f>
        <v>-204.17603802778709</v>
      </c>
      <c r="M19" s="58">
        <f>'Interim Cash Flow Reported'!M19/'Interim Cash Flow US$'!M$7</f>
        <v>-131.45004353412313</v>
      </c>
      <c r="N19" s="58">
        <f>'Interim Cash Flow Reported'!N19/'Interim Cash Flow US$'!N$7</f>
        <v>-95.721103512039917</v>
      </c>
      <c r="O19" s="58">
        <f>'Interim Cash Flow Reported'!O19/'Interim Cash Flow US$'!O$7</f>
        <v>-390.46274483629105</v>
      </c>
      <c r="P19" s="58">
        <f>'Interim Cash Flow Reported'!P19/'Interim Cash Flow US$'!P$7</f>
        <v>-198.14976261458347</v>
      </c>
      <c r="Q19" s="58">
        <f>'Interim Cash Flow Reported'!Q19/'Interim Cash Flow US$'!Q$7</f>
        <v>27.256208358570568</v>
      </c>
      <c r="R19" s="58">
        <f>'Interim Cash Flow Reported'!R19/'Interim Cash Flow US$'!R$7</f>
        <v>-285.77102361723598</v>
      </c>
      <c r="S19" s="58">
        <f>'Interim Cash Flow Reported'!S19/'Interim Cash Flow US$'!S$7</f>
        <v>-103.90694721734086</v>
      </c>
      <c r="T19" s="58">
        <f>'Interim Cash Flow Reported'!T19/'Interim Cash Flow US$'!T$7</f>
        <v>149.20200680256497</v>
      </c>
      <c r="U19" s="58">
        <f>'Interim Cash Flow Reported'!U19/'Interim Cash Flow US$'!U$7</f>
        <v>50.757218149902428</v>
      </c>
      <c r="V19" s="58">
        <f>'Interim Cash Flow Reported'!V19/'Interim Cash Flow US$'!V$7</f>
        <v>0</v>
      </c>
      <c r="W19" s="58">
        <f>'Interim Cash Flow Reported'!W19/'Interim Cash Flow US$'!W$7</f>
        <v>0</v>
      </c>
      <c r="X19" s="58">
        <f>'Interim Cash Flow Reported'!X19/'Interim Cash Flow US$'!X$7</f>
        <v>-273.63646503327504</v>
      </c>
      <c r="Y19" s="58">
        <f>'Interim Cash Flow Reported'!Y19/'Interim Cash Flow US$'!Y$7</f>
        <v>228.96178965543126</v>
      </c>
      <c r="Z19" s="58">
        <f>'Interim Cash Flow Reported'!Z19/'Interim Cash Flow US$'!Z$7</f>
        <v>768.01236237203022</v>
      </c>
      <c r="AA19" s="58">
        <f>'Interim Cash Flow Reported'!AA19/'Interim Cash Flow US$'!AA$7</f>
        <v>285.25641025641028</v>
      </c>
      <c r="AB19" s="58">
        <f>'Interim Cash Flow Reported'!AB19/'Interim Cash Flow US$'!AB$7</f>
        <v>-1035.8851674641148</v>
      </c>
    </row>
    <row r="20" spans="1:28" x14ac:dyDescent="0.3">
      <c r="A20" s="85" t="s">
        <v>195</v>
      </c>
      <c r="B20" s="58">
        <f>'Interim Cash Flow Reported'!B20/'Interim Cash Flow US$'!B$7</f>
        <v>0</v>
      </c>
      <c r="C20" s="58">
        <f>'Interim Cash Flow Reported'!C20/'Interim Cash Flow US$'!C$7</f>
        <v>0</v>
      </c>
      <c r="D20" s="58">
        <f>'Interim Cash Flow Reported'!D20/'Interim Cash Flow US$'!D$7</f>
        <v>0</v>
      </c>
      <c r="E20" s="58">
        <f>'Interim Cash Flow Reported'!E20/'Interim Cash Flow US$'!E$7</f>
        <v>0</v>
      </c>
      <c r="F20" s="58">
        <f>'Interim Cash Flow Reported'!F20/'Interim Cash Flow US$'!F$7</f>
        <v>0</v>
      </c>
      <c r="G20" s="58">
        <f>'Interim Cash Flow Reported'!G20/'Interim Cash Flow US$'!G$7</f>
        <v>0</v>
      </c>
      <c r="H20" s="58">
        <f>'Interim Cash Flow Reported'!H20/'Interim Cash Flow US$'!H$7</f>
        <v>0</v>
      </c>
      <c r="I20" s="58">
        <f>'Interim Cash Flow Reported'!I20/'Interim Cash Flow US$'!I$7</f>
        <v>0</v>
      </c>
      <c r="J20" s="58">
        <f>'Interim Cash Flow Reported'!J20/'Interim Cash Flow US$'!J$7</f>
        <v>0</v>
      </c>
      <c r="K20" s="58">
        <f>'Interim Cash Flow Reported'!K20/'Interim Cash Flow US$'!K$7</f>
        <v>0</v>
      </c>
      <c r="L20" s="58">
        <f>'Interim Cash Flow Reported'!L20/'Interim Cash Flow US$'!L$7</f>
        <v>0</v>
      </c>
      <c r="M20" s="58">
        <f>'Interim Cash Flow Reported'!M20/'Interim Cash Flow US$'!M$7</f>
        <v>0</v>
      </c>
      <c r="N20" s="58">
        <f>'Interim Cash Flow Reported'!N20/'Interim Cash Flow US$'!N$7</f>
        <v>0</v>
      </c>
      <c r="O20" s="58">
        <f>'Interim Cash Flow Reported'!O20/'Interim Cash Flow US$'!O$7</f>
        <v>0</v>
      </c>
      <c r="P20" s="58">
        <f>'Interim Cash Flow Reported'!P20/'Interim Cash Flow US$'!P$7</f>
        <v>0</v>
      </c>
      <c r="Q20" s="58">
        <f>'Interim Cash Flow Reported'!Q20/'Interim Cash Flow US$'!Q$7</f>
        <v>0</v>
      </c>
      <c r="R20" s="58">
        <f>'Interim Cash Flow Reported'!R20/'Interim Cash Flow US$'!R$7</f>
        <v>0</v>
      </c>
      <c r="S20" s="58">
        <f>'Interim Cash Flow Reported'!S20/'Interim Cash Flow US$'!S$7</f>
        <v>0</v>
      </c>
      <c r="T20" s="58">
        <f>'Interim Cash Flow Reported'!T20/'Interim Cash Flow US$'!T$7</f>
        <v>0</v>
      </c>
      <c r="U20" s="58">
        <f>'Interim Cash Flow Reported'!U20/'Interim Cash Flow US$'!U$7</f>
        <v>0</v>
      </c>
      <c r="V20" s="58">
        <f>'Interim Cash Flow Reported'!V20/'Interim Cash Flow US$'!V$7</f>
        <v>0</v>
      </c>
      <c r="W20" s="58">
        <f>'Interim Cash Flow Reported'!W20/'Interim Cash Flow US$'!W$7</f>
        <v>0</v>
      </c>
      <c r="X20" s="58">
        <f>'Interim Cash Flow Reported'!X20/'Interim Cash Flow US$'!X$7</f>
        <v>0</v>
      </c>
      <c r="Y20" s="58">
        <f>'Interim Cash Flow Reported'!Y20/'Interim Cash Flow US$'!Y$7</f>
        <v>0</v>
      </c>
      <c r="Z20" s="58">
        <f>'Interim Cash Flow Reported'!Z20/'Interim Cash Flow US$'!Z$7</f>
        <v>0</v>
      </c>
      <c r="AA20" s="58">
        <f>'Interim Cash Flow Reported'!AA20/'Interim Cash Flow US$'!AA$7</f>
        <v>0</v>
      </c>
      <c r="AB20" s="58">
        <f>'Interim Cash Flow Reported'!AB20/'Interim Cash Flow US$'!AB$7</f>
        <v>0</v>
      </c>
    </row>
    <row r="21" spans="1:28" x14ac:dyDescent="0.3">
      <c r="A21" s="85" t="s">
        <v>196</v>
      </c>
      <c r="B21" s="60">
        <f>'Interim Cash Flow Reported'!B21/'Interim Cash Flow US$'!B$7</f>
        <v>-2.4226175575169786</v>
      </c>
      <c r="C21" s="60">
        <f>'Interim Cash Flow Reported'!C21/'Interim Cash Flow US$'!C$7</f>
        <v>15.451299942260931</v>
      </c>
      <c r="D21" s="60">
        <f>'Interim Cash Flow Reported'!D21/'Interim Cash Flow US$'!D$7</f>
        <v>5.3575392057065443</v>
      </c>
      <c r="E21" s="60">
        <f>'Interim Cash Flow Reported'!E21/'Interim Cash Flow US$'!E$7</f>
        <v>-15.735523318546937</v>
      </c>
      <c r="F21" s="60">
        <f>'Interim Cash Flow Reported'!F21/'Interim Cash Flow US$'!F$7</f>
        <v>0</v>
      </c>
      <c r="G21" s="60">
        <f>'Interim Cash Flow Reported'!G21/'Interim Cash Flow US$'!G$7</f>
        <v>-6.2066985794418628</v>
      </c>
      <c r="H21" s="60">
        <f>'Interim Cash Flow Reported'!H21/'Interim Cash Flow US$'!H$7</f>
        <v>11.506861925328138</v>
      </c>
      <c r="I21" s="60">
        <f>'Interim Cash Flow Reported'!I21/'Interim Cash Flow US$'!I$7</f>
        <v>-11.989509179467966</v>
      </c>
      <c r="J21" s="60">
        <f>'Interim Cash Flow Reported'!J21/'Interim Cash Flow US$'!J$7</f>
        <v>-4.5326806273229989</v>
      </c>
      <c r="K21" s="60">
        <f>'Interim Cash Flow Reported'!K21/'Interim Cash Flow US$'!K$7</f>
        <v>3.7119524870081664</v>
      </c>
      <c r="L21" s="60">
        <f>'Interim Cash Flow Reported'!L21/'Interim Cash Flow US$'!L$7</f>
        <v>7.1780638369143901</v>
      </c>
      <c r="M21" s="60">
        <f>'Interim Cash Flow Reported'!M21/'Interim Cash Flow US$'!M$7</f>
        <v>-18.891024220472783</v>
      </c>
      <c r="N21" s="60">
        <f>'Interim Cash Flow Reported'!N21/'Interim Cash Flow US$'!N$7</f>
        <v>11.866252501492552</v>
      </c>
      <c r="O21" s="60">
        <f>'Interim Cash Flow Reported'!O21/'Interim Cash Flow US$'!O$7</f>
        <v>23.241830049779232</v>
      </c>
      <c r="P21" s="60">
        <f>'Interim Cash Flow Reported'!P21/'Interim Cash Flow US$'!P$7</f>
        <v>2.2951709955357158</v>
      </c>
      <c r="Q21" s="60">
        <f>'Interim Cash Flow Reported'!Q21/'Interim Cash Flow US$'!Q$7</f>
        <v>-0.75711689884918243</v>
      </c>
      <c r="R21" s="60">
        <f>'Interim Cash Flow Reported'!R21/'Interim Cash Flow US$'!R$7</f>
        <v>27.073044342685517</v>
      </c>
      <c r="S21" s="60">
        <f>'Interim Cash Flow Reported'!S21/'Interim Cash Flow US$'!S$7</f>
        <v>11.21297991554038</v>
      </c>
      <c r="T21" s="60">
        <f>'Interim Cash Flow Reported'!T21/'Interim Cash Flow US$'!T$7</f>
        <v>8.3310765219706315</v>
      </c>
      <c r="U21" s="60">
        <f>'Interim Cash Flow Reported'!U21/'Interim Cash Flow US$'!U$7</f>
        <v>9.848415461921368</v>
      </c>
      <c r="V21" s="60">
        <f>'Interim Cash Flow Reported'!V21/'Interim Cash Flow US$'!V$7</f>
        <v>23.105107868556289</v>
      </c>
      <c r="W21" s="60">
        <f>'Interim Cash Flow Reported'!W21/'Interim Cash Flow US$'!W$7</f>
        <v>4.3265008270827412</v>
      </c>
      <c r="X21" s="60">
        <f>'Interim Cash Flow Reported'!X21/'Interim Cash Flow US$'!X$7</f>
        <v>2.9743094025355985</v>
      </c>
      <c r="Y21" s="60">
        <f>'Interim Cash Flow Reported'!Y21/'Interim Cash Flow US$'!Y$7</f>
        <v>-4.504166353877336</v>
      </c>
      <c r="Z21" s="60">
        <f>'Interim Cash Flow Reported'!Z21/'Interim Cash Flow US$'!Z$7</f>
        <v>4.6358895112999807</v>
      </c>
      <c r="AA21" s="60">
        <f>'Interim Cash Flow Reported'!AA21/'Interim Cash Flow US$'!AA$7</f>
        <v>-8.8141025641025639</v>
      </c>
      <c r="AB21" s="60">
        <f>'Interim Cash Flow Reported'!AB21/'Interim Cash Flow US$'!AB$7</f>
        <v>15.94896331738437</v>
      </c>
    </row>
    <row r="22" spans="1:28" x14ac:dyDescent="0.3">
      <c r="A22" s="14" t="s">
        <v>197</v>
      </c>
      <c r="B22" s="74">
        <f t="shared" ref="B22:K22" si="14">SUM(B14:B21)</f>
        <v>-466.75764941493782</v>
      </c>
      <c r="C22" s="74">
        <f t="shared" si="14"/>
        <v>-261.04564639293471</v>
      </c>
      <c r="D22" s="74">
        <f t="shared" si="14"/>
        <v>-596.21757732077128</v>
      </c>
      <c r="E22" s="74">
        <f t="shared" si="14"/>
        <v>-382.14842345042564</v>
      </c>
      <c r="F22" s="74">
        <f t="shared" si="14"/>
        <v>-681.16817430918934</v>
      </c>
      <c r="G22" s="74">
        <f t="shared" si="14"/>
        <v>-1194.0136392201284</v>
      </c>
      <c r="H22" s="74">
        <f t="shared" si="14"/>
        <v>-151.12345328597624</v>
      </c>
      <c r="I22" s="74">
        <f t="shared" si="14"/>
        <v>-3.7467216185837273</v>
      </c>
      <c r="J22" s="74">
        <f t="shared" si="14"/>
        <v>-825.70332094400635</v>
      </c>
      <c r="K22" s="74">
        <f t="shared" si="14"/>
        <v>-966.59242761692644</v>
      </c>
      <c r="L22" s="74">
        <f t="shared" ref="L22:M22" si="15">SUM(L14:L21)</f>
        <v>-330.98849914660798</v>
      </c>
      <c r="M22" s="74">
        <f t="shared" si="15"/>
        <v>-488.80525170473334</v>
      </c>
      <c r="N22" s="74">
        <f t="shared" ref="N22:O22" si="16">SUM(N14:N21)</f>
        <v>-809.27842060179205</v>
      </c>
      <c r="O22" s="74">
        <f t="shared" si="16"/>
        <v>-1034.2614372151756</v>
      </c>
      <c r="P22" s="74">
        <f t="shared" ref="P22:Q22" si="17">SUM(P14:P21)</f>
        <v>-341.21542133630976</v>
      </c>
      <c r="Q22" s="74">
        <f t="shared" si="17"/>
        <v>-138.55239248940038</v>
      </c>
      <c r="R22" s="74">
        <f t="shared" ref="R22:S22" si="18">SUM(R14:R21)</f>
        <v>-1395.7658416673421</v>
      </c>
      <c r="S22" s="74">
        <f t="shared" si="18"/>
        <v>-520.28226808107365</v>
      </c>
      <c r="T22" s="74">
        <f t="shared" ref="T22:U22" si="19">SUM(T14:T21)</f>
        <v>-70.43546514029714</v>
      </c>
      <c r="U22" s="74">
        <f t="shared" si="19"/>
        <v>-113.63556302216962</v>
      </c>
      <c r="V22" s="74">
        <f t="shared" ref="V22:Y22" si="20">SUM(V14:V21)</f>
        <v>50.682172098768618</v>
      </c>
      <c r="W22" s="74">
        <f t="shared" si="20"/>
        <v>-227.86237689302433</v>
      </c>
      <c r="X22" s="74">
        <f t="shared" si="20"/>
        <v>-478.86381380823138</v>
      </c>
      <c r="Y22" s="74">
        <f t="shared" si="20"/>
        <v>-244.72637189400197</v>
      </c>
      <c r="Z22" s="74">
        <f t="shared" ref="Z22:AB22" si="21">SUM(Z14:Z21)</f>
        <v>560.16998261541437</v>
      </c>
      <c r="AA22" s="74">
        <f t="shared" si="21"/>
        <v>68.108974358974393</v>
      </c>
      <c r="AB22" s="74">
        <f t="shared" si="21"/>
        <v>-1134.768740031898</v>
      </c>
    </row>
    <row r="23" spans="1:28" x14ac:dyDescent="0.3">
      <c r="A23" s="85" t="s">
        <v>198</v>
      </c>
      <c r="B23" s="58">
        <f>'Interim Cash Flow Reported'!B23/'Interim Cash Flow US$'!B$7</f>
        <v>0.80753918583899287</v>
      </c>
      <c r="C23" s="58">
        <f>'Interim Cash Flow Reported'!C23/'Interim Cash Flow US$'!C$7</f>
        <v>1.6264526255011507</v>
      </c>
      <c r="D23" s="58">
        <f>'Interim Cash Flow Reported'!D23/'Interim Cash Flow US$'!D$7</f>
        <v>0</v>
      </c>
      <c r="E23" s="58">
        <f>'Interim Cash Flow Reported'!E23/'Interim Cash Flow US$'!E$7</f>
        <v>0.74931063421652078</v>
      </c>
      <c r="F23" s="58">
        <f>'Interim Cash Flow Reported'!F23/'Interim Cash Flow US$'!F$7</f>
        <v>0</v>
      </c>
      <c r="G23" s="58">
        <f>'Interim Cash Flow Reported'!G23/'Interim Cash Flow US$'!G$7</f>
        <v>0</v>
      </c>
      <c r="H23" s="58">
        <f>'Interim Cash Flow Reported'!H23/'Interim Cash Flow US$'!H$7</f>
        <v>0.76712412835520927</v>
      </c>
      <c r="I23" s="58">
        <f>'Interim Cash Flow Reported'!I23/'Interim Cash Flow US$'!I$7</f>
        <v>0.74934432371674786</v>
      </c>
      <c r="J23" s="58">
        <f>'Interim Cash Flow Reported'!J23/'Interim Cash Flow US$'!J$7</f>
        <v>0.75544677122049975</v>
      </c>
      <c r="K23" s="58">
        <f>'Interim Cash Flow Reported'!K23/'Interim Cash Flow US$'!K$7</f>
        <v>1.4847809948032666</v>
      </c>
      <c r="L23" s="58">
        <f>'Interim Cash Flow Reported'!L23/'Interim Cash Flow US$'!L$7</f>
        <v>3.1902505941841732</v>
      </c>
      <c r="M23" s="58">
        <f>'Interim Cash Flow Reported'!M23/'Interim Cash Flow US$'!M$7</f>
        <v>1.574252018372732</v>
      </c>
      <c r="N23" s="58">
        <f>'Interim Cash Flow Reported'!N23/'Interim Cash Flow US$'!N$7</f>
        <v>0.79108350009950346</v>
      </c>
      <c r="O23" s="58">
        <f>'Interim Cash Flow Reported'!O23/'Interim Cash Flow US$'!O$7</f>
        <v>0.77472766832597439</v>
      </c>
      <c r="P23" s="58">
        <f>'Interim Cash Flow Reported'!P23/'Interim Cash Flow US$'!P$7</f>
        <v>2.2951709955357158</v>
      </c>
      <c r="Q23" s="58">
        <f>'Interim Cash Flow Reported'!Q23/'Interim Cash Flow US$'!Q$7</f>
        <v>0</v>
      </c>
      <c r="R23" s="58">
        <f>'Interim Cash Flow Reported'!R23/'Interim Cash Flow US$'!R$7</f>
        <v>0.75202900951904206</v>
      </c>
      <c r="S23" s="58">
        <f>'Interim Cash Flow Reported'!S23/'Interim Cash Flow US$'!S$7</f>
        <v>1.4950639887387174</v>
      </c>
      <c r="T23" s="58">
        <f>'Interim Cash Flow Reported'!T23/'Interim Cash Flow US$'!T$7</f>
        <v>1.5147411858128421</v>
      </c>
      <c r="U23" s="58">
        <f>'Interim Cash Flow Reported'!U23/'Interim Cash Flow US$'!U$7</f>
        <v>3.0302816805911901</v>
      </c>
      <c r="V23" s="58">
        <f>'Interim Cash Flow Reported'!V23/'Interim Cash Flow US$'!V$7</f>
        <v>0.74532606027600923</v>
      </c>
      <c r="W23" s="58">
        <f>'Interim Cash Flow Reported'!W23/'Interim Cash Flow US$'!W$7</f>
        <v>398.75915956279266</v>
      </c>
      <c r="X23" s="58">
        <f>'Interim Cash Flow Reported'!X23/'Interim Cash Flow US$'!X$7</f>
        <v>0</v>
      </c>
      <c r="Y23" s="58">
        <f>'Interim Cash Flow Reported'!Y23/'Interim Cash Flow US$'!Y$7</f>
        <v>611.81592973500483</v>
      </c>
      <c r="Z23" s="58">
        <f>'Interim Cash Flow Reported'!Z23/'Interim Cash Flow US$'!Z$7</f>
        <v>57.175970639366433</v>
      </c>
      <c r="AA23" s="58">
        <f>'Interim Cash Flow Reported'!AA23/'Interim Cash Flow US$'!AA$7</f>
        <v>384.61538461538464</v>
      </c>
      <c r="AB23" s="58">
        <f>'Interim Cash Flow Reported'!AB23/'Interim Cash Flow US$'!AB$7</f>
        <v>0</v>
      </c>
    </row>
    <row r="24" spans="1:28" x14ac:dyDescent="0.3">
      <c r="A24" s="85" t="s">
        <v>199</v>
      </c>
      <c r="B24" s="58">
        <f>'Interim Cash Flow Reported'!B24/'Interim Cash Flow US$'!B$7</f>
        <v>0</v>
      </c>
      <c r="C24" s="58">
        <f>'Interim Cash Flow Reported'!C24/'Interim Cash Flow US$'!C$7</f>
        <v>-0.81322631275057533</v>
      </c>
      <c r="D24" s="58">
        <f>'Interim Cash Flow Reported'!D24/'Interim Cash Flow US$'!D$7</f>
        <v>-31.379872490566903</v>
      </c>
      <c r="E24" s="58">
        <f>'Interim Cash Flow Reported'!E24/'Interim Cash Flow US$'!E$7</f>
        <v>-15.735523318546937</v>
      </c>
      <c r="F24" s="58">
        <f>'Interim Cash Flow Reported'!F24/'Interim Cash Flow US$'!F$7</f>
        <v>-24.743288383026105</v>
      </c>
      <c r="G24" s="58">
        <f>'Interim Cash Flow Reported'!G24/'Interim Cash Flow US$'!G$7</f>
        <v>-18.620095738325588</v>
      </c>
      <c r="H24" s="58">
        <f>'Interim Cash Flow Reported'!H24/'Interim Cash Flow US$'!H$7</f>
        <v>-23.780847979011487</v>
      </c>
      <c r="I24" s="58">
        <f>'Interim Cash Flow Reported'!I24/'Interim Cash Flow US$'!I$7</f>
        <v>-3.7467216185837393</v>
      </c>
      <c r="J24" s="58">
        <f>'Interim Cash Flow Reported'!J24/'Interim Cash Flow US$'!J$7</f>
        <v>-24.929743450276494</v>
      </c>
      <c r="K24" s="58">
        <f>'Interim Cash Flow Reported'!K24/'Interim Cash Flow US$'!K$7</f>
        <v>-2.2271714922048997</v>
      </c>
      <c r="L24" s="58">
        <f>'Interim Cash Flow Reported'!L24/'Interim Cash Flow US$'!L$7</f>
        <v>0</v>
      </c>
      <c r="M24" s="58">
        <f>'Interim Cash Flow Reported'!M24/'Interim Cash Flow US$'!M$7</f>
        <v>-27.54941032152281</v>
      </c>
      <c r="N24" s="58">
        <f>'Interim Cash Flow Reported'!N24/'Interim Cash Flow US$'!N$7</f>
        <v>-0.79108350009950346</v>
      </c>
      <c r="O24" s="58">
        <f>'Interim Cash Flow Reported'!O24/'Interim Cash Flow US$'!O$7</f>
        <v>-17.044008703171436</v>
      </c>
      <c r="P24" s="58">
        <f>'Interim Cash Flow Reported'!P24/'Interim Cash Flow US$'!P$7</f>
        <v>0</v>
      </c>
      <c r="Q24" s="58">
        <f>'Interim Cash Flow Reported'!Q24/'Interim Cash Flow US$'!Q$7</f>
        <v>-37.855844942459122</v>
      </c>
      <c r="R24" s="58">
        <f>'Interim Cash Flow Reported'!R24/'Interim Cash Flow US$'!R$7</f>
        <v>-38.353479485471148</v>
      </c>
      <c r="S24" s="58">
        <f>'Interim Cash Flow Reported'!S24/'Interim Cash Flow US$'!S$7</f>
        <v>-76.995795420043947</v>
      </c>
      <c r="T24" s="58">
        <f>'Interim Cash Flow Reported'!T24/'Interim Cash Flow US$'!T$7</f>
        <v>-71.19283573320358</v>
      </c>
      <c r="U24" s="58">
        <f>'Interim Cash Flow Reported'!U24/'Interim Cash Flow US$'!U$7</f>
        <v>-94.696302518474681</v>
      </c>
      <c r="V24" s="58">
        <f>'Interim Cash Flow Reported'!V24/'Interim Cash Flow US$'!V$7</f>
        <v>-98.383039956433223</v>
      </c>
      <c r="W24" s="58">
        <f>'Interim Cash Flow Reported'!W24/'Interim Cash Flow US$'!W$7</f>
        <v>0</v>
      </c>
      <c r="X24" s="58">
        <f>'Interim Cash Flow Reported'!X24/'Interim Cash Flow US$'!X$7</f>
        <v>0</v>
      </c>
      <c r="Y24" s="58">
        <f>'Interim Cash Flow Reported'!Y24/'Interim Cash Flow US$'!Y$7</f>
        <v>0</v>
      </c>
      <c r="Z24" s="58">
        <f>'Interim Cash Flow Reported'!Z24/'Interim Cash Flow US$'!Z$7</f>
        <v>0</v>
      </c>
      <c r="AA24" s="58">
        <f>'Interim Cash Flow Reported'!AA24/'Interim Cash Flow US$'!AA$7</f>
        <v>0</v>
      </c>
      <c r="AB24" s="58">
        <f>'Interim Cash Flow Reported'!AB24/'Interim Cash Flow US$'!AB$7</f>
        <v>0</v>
      </c>
    </row>
    <row r="25" spans="1:28" x14ac:dyDescent="0.3">
      <c r="A25" s="85" t="s">
        <v>200</v>
      </c>
      <c r="B25" s="58">
        <f>'Interim Cash Flow Reported'!B25/'Interim Cash Flow US$'!B$7</f>
        <v>227.72605040659599</v>
      </c>
      <c r="C25" s="58">
        <f>'Interim Cash Flow Reported'!C25/'Interim Cash Flow US$'!C$7</f>
        <v>5.6925841892540276</v>
      </c>
      <c r="D25" s="58">
        <f>'Interim Cash Flow Reported'!D25/'Interim Cash Flow US$'!D$7</f>
        <v>231.13954858905379</v>
      </c>
      <c r="E25" s="58">
        <f>'Interim Cash Flow Reported'!E25/'Interim Cash Flow US$'!E$7</f>
        <v>235.28353914398753</v>
      </c>
      <c r="F25" s="58">
        <f>'Interim Cash Flow Reported'!F25/'Interim Cash Flow US$'!F$7</f>
        <v>448.29016599835529</v>
      </c>
      <c r="G25" s="58">
        <f>'Interim Cash Flow Reported'!G25/'Interim Cash Flow US$'!G$7</f>
        <v>536.87942712172116</v>
      </c>
      <c r="H25" s="58">
        <f>'Interim Cash Flow Reported'!H25/'Interim Cash Flow US$'!H$7</f>
        <v>0</v>
      </c>
      <c r="I25" s="58">
        <f>'Interim Cash Flow Reported'!I25/'Interim Cash Flow US$'!I$7</f>
        <v>921.69351817159986</v>
      </c>
      <c r="J25" s="58">
        <f>'Interim Cash Flow Reported'!J25/'Interim Cash Flow US$'!J$7</f>
        <v>280.27075212280545</v>
      </c>
      <c r="K25" s="58">
        <f>'Interim Cash Flow Reported'!K25/'Interim Cash Flow US$'!K$7</f>
        <v>275.42687453600593</v>
      </c>
      <c r="L25" s="58">
        <f>'Interim Cash Flow Reported'!L25/'Interim Cash Flow US$'!L$7</f>
        <v>0</v>
      </c>
      <c r="M25" s="58">
        <f>'Interim Cash Flow Reported'!M25/'Interim Cash Flow US$'!M$7</f>
        <v>-7.0841340826772941</v>
      </c>
      <c r="N25" s="58">
        <f>'Interim Cash Flow Reported'!N25/'Interim Cash Flow US$'!N$7</f>
        <v>545.05653156855783</v>
      </c>
      <c r="O25" s="58">
        <f>'Interim Cash Flow Reported'!O25/'Interim Cash Flow US$'!O$7</f>
        <v>403.63311519783264</v>
      </c>
      <c r="P25" s="58">
        <f>'Interim Cash Flow Reported'!P25/'Interim Cash Flow US$'!P$7</f>
        <v>0</v>
      </c>
      <c r="Q25" s="58">
        <f>'Interim Cash Flow Reported'!Q25/'Interim Cash Flow US$'!Q$7</f>
        <v>0</v>
      </c>
      <c r="R25" s="58">
        <f>'Interim Cash Flow Reported'!R25/'Interim Cash Flow US$'!R$7</f>
        <v>0</v>
      </c>
      <c r="S25" s="58">
        <f>'Interim Cash Flow Reported'!S25/'Interim Cash Flow US$'!S$7</f>
        <v>0</v>
      </c>
      <c r="T25" s="58">
        <f>'Interim Cash Flow Reported'!T25/'Interim Cash Flow US$'!T$7</f>
        <v>0</v>
      </c>
      <c r="U25" s="58">
        <f>'Interim Cash Flow Reported'!U25/'Interim Cash Flow US$'!U$7</f>
        <v>0</v>
      </c>
      <c r="V25" s="58">
        <f>'Interim Cash Flow Reported'!V25/'Interim Cash Flow US$'!V$7</f>
        <v>765.44986390346151</v>
      </c>
      <c r="W25" s="58">
        <f>'Interim Cash Flow Reported'!W25/'Interim Cash Flow US$'!W$7</f>
        <v>2788.4297830548267</v>
      </c>
      <c r="X25" s="58">
        <f>'Interim Cash Flow Reported'!X25/'Interim Cash Flow US$'!X$7</f>
        <v>828.34516860616418</v>
      </c>
      <c r="Y25" s="58">
        <f>'Interim Cash Flow Reported'!Y25/'Interim Cash Flow US$'!Y$7</f>
        <v>132.12221304706853</v>
      </c>
      <c r="Z25" s="58">
        <f>'Interim Cash Flow Reported'!Z25/'Interim Cash Flow US$'!Z$7</f>
        <v>98.898976241066265</v>
      </c>
      <c r="AA25" s="58">
        <f>'Interim Cash Flow Reported'!AA25/'Interim Cash Flow US$'!AA$7</f>
        <v>912.66025641025647</v>
      </c>
      <c r="AB25" s="58">
        <f>'Interim Cash Flow Reported'!AB25/'Interim Cash Flow US$'!AB$7</f>
        <v>5390.7496012759175</v>
      </c>
    </row>
    <row r="26" spans="1:28" x14ac:dyDescent="0.3">
      <c r="A26" s="85" t="s">
        <v>201</v>
      </c>
      <c r="B26" s="58">
        <f>'Interim Cash Flow Reported'!B26/'Interim Cash Flow US$'!B$7</f>
        <v>0</v>
      </c>
      <c r="C26" s="58">
        <f>'Interim Cash Flow Reported'!C26/'Interim Cash Flow US$'!C$7</f>
        <v>0</v>
      </c>
      <c r="D26" s="58">
        <f>'Interim Cash Flow Reported'!D26/'Interim Cash Flow US$'!D$7</f>
        <v>0</v>
      </c>
      <c r="E26" s="58">
        <f>'Interim Cash Flow Reported'!E26/'Interim Cash Flow US$'!E$7</f>
        <v>0</v>
      </c>
      <c r="F26" s="58">
        <f>'Interim Cash Flow Reported'!F26/'Interim Cash Flow US$'!F$7</f>
        <v>0</v>
      </c>
      <c r="G26" s="58">
        <f>'Interim Cash Flow Reported'!G26/'Interim Cash Flow US$'!G$7</f>
        <v>272.31890017301174</v>
      </c>
      <c r="H26" s="58">
        <f>'Interim Cash Flow Reported'!H26/'Interim Cash Flow US$'!H$7</f>
        <v>0</v>
      </c>
      <c r="I26" s="58">
        <f>'Interim Cash Flow Reported'!I26/'Interim Cash Flow US$'!I$7</f>
        <v>0</v>
      </c>
      <c r="J26" s="58">
        <f>'Interim Cash Flow Reported'!J26/'Interim Cash Flow US$'!J$7</f>
        <v>278.75985858036444</v>
      </c>
      <c r="K26" s="58">
        <f>'Interim Cash Flow Reported'!K26/'Interim Cash Flow US$'!K$7</f>
        <v>268.74536005939126</v>
      </c>
      <c r="L26" s="58">
        <f>'Interim Cash Flow Reported'!L26/'Interim Cash Flow US$'!L$7</f>
        <v>0</v>
      </c>
      <c r="M26" s="58">
        <f>'Interim Cash Flow Reported'!M26/'Interim Cash Flow US$'!M$7</f>
        <v>7.0841340826772941</v>
      </c>
      <c r="N26" s="58">
        <f>'Interim Cash Flow Reported'!N26/'Interim Cash Flow US$'!N$7</f>
        <v>0</v>
      </c>
      <c r="O26" s="58">
        <f>'Interim Cash Flow Reported'!O26/'Interim Cash Flow US$'!O$7</f>
        <v>0</v>
      </c>
      <c r="P26" s="58">
        <f>'Interim Cash Flow Reported'!P26/'Interim Cash Flow US$'!P$7</f>
        <v>224.16170056398823</v>
      </c>
      <c r="Q26" s="58">
        <f>'Interim Cash Flow Reported'!Q26/'Interim Cash Flow US$'!Q$7</f>
        <v>0</v>
      </c>
      <c r="R26" s="58">
        <f>'Interim Cash Flow Reported'!R26/'Interim Cash Flow US$'!R$7</f>
        <v>0</v>
      </c>
      <c r="S26" s="58">
        <f>'Interim Cash Flow Reported'!S26/'Interim Cash Flow US$'!S$7</f>
        <v>0</v>
      </c>
      <c r="T26" s="58">
        <f>'Interim Cash Flow Reported'!T26/'Interim Cash Flow US$'!T$7</f>
        <v>0</v>
      </c>
      <c r="U26" s="58">
        <f>'Interim Cash Flow Reported'!U26/'Interim Cash Flow US$'!U$7</f>
        <v>0</v>
      </c>
      <c r="V26" s="58">
        <f>'Interim Cash Flow Reported'!V26/'Interim Cash Flow US$'!V$7</f>
        <v>0</v>
      </c>
      <c r="W26" s="58">
        <f>'Interim Cash Flow Reported'!W26/'Interim Cash Flow US$'!W$7</f>
        <v>0</v>
      </c>
      <c r="X26" s="58">
        <f>'Interim Cash Flow Reported'!X26/'Interim Cash Flow US$'!X$7</f>
        <v>0</v>
      </c>
      <c r="Y26" s="58">
        <f>'Interim Cash Flow Reported'!Y26/'Interim Cash Flow US$'!Y$7</f>
        <v>364.08678027175137</v>
      </c>
      <c r="Z26" s="58">
        <f>'Interim Cash Flow Reported'!Z26/'Interim Cash Flow US$'!Z$7</f>
        <v>4.6358895112999807</v>
      </c>
      <c r="AA26" s="58">
        <f>'Interim Cash Flow Reported'!AA26/'Interim Cash Flow US$'!AA$7</f>
        <v>4.0064102564102564</v>
      </c>
      <c r="AB26" s="58">
        <f>'Interim Cash Flow Reported'!AB26/'Interim Cash Flow US$'!AB$7</f>
        <v>0</v>
      </c>
    </row>
    <row r="27" spans="1:28" x14ac:dyDescent="0.3">
      <c r="A27" s="85" t="s">
        <v>202</v>
      </c>
      <c r="B27" s="58">
        <f>'Interim Cash Flow Reported'!B27/'Interim Cash Flow US$'!B$7</f>
        <v>-92.86700637148418</v>
      </c>
      <c r="C27" s="58">
        <f>'Interim Cash Flow Reported'!C27/'Interim Cash Flow US$'!C$7</f>
        <v>-119.54426797433457</v>
      </c>
      <c r="D27" s="58">
        <f>'Interim Cash Flow Reported'!D27/'Interim Cash Flow US$'!D$7</f>
        <v>-94.904980215373072</v>
      </c>
      <c r="E27" s="58">
        <f>'Interim Cash Flow Reported'!E27/'Interim Cash Flow US$'!E$7</f>
        <v>-240.52871358350319</v>
      </c>
      <c r="F27" s="58">
        <f>'Interim Cash Flow Reported'!F27/'Interim Cash Flow US$'!F$7</f>
        <v>-167.38106847341189</v>
      </c>
      <c r="G27" s="58">
        <f>'Interim Cash Flow Reported'!G27/'Interim Cash Flow US$'!G$7</f>
        <v>-121.80645962154657</v>
      </c>
      <c r="H27" s="58">
        <f>'Interim Cash Flow Reported'!H27/'Interim Cash Flow US$'!H$7</f>
        <v>-61.369930268416738</v>
      </c>
      <c r="I27" s="58">
        <f>'Interim Cash Flow Reported'!I27/'Interim Cash Flow US$'!I$7</f>
        <v>-1354.8145372798801</v>
      </c>
      <c r="J27" s="58">
        <f>'Interim Cash Flow Reported'!J27/'Interim Cash Flow US$'!J$7</f>
        <v>-114.82790922551597</v>
      </c>
      <c r="K27" s="58">
        <f>'Interim Cash Flow Reported'!K27/'Interim Cash Flow US$'!K$7</f>
        <v>-162.58351893095769</v>
      </c>
      <c r="L27" s="58">
        <f>'Interim Cash Flow Reported'!L27/'Interim Cash Flow US$'!L$7</f>
        <v>-161.90521765484681</v>
      </c>
      <c r="M27" s="58">
        <f>'Interim Cash Flow Reported'!M27/'Interim Cash Flow US$'!M$7</f>
        <v>-188.91024220472784</v>
      </c>
      <c r="N27" s="58">
        <f>'Interim Cash Flow Reported'!N27/'Interim Cash Flow US$'!N$7</f>
        <v>-178.78487102248778</v>
      </c>
      <c r="O27" s="58">
        <f>'Interim Cash Flow Reported'!O27/'Interim Cash Flow US$'!O$7</f>
        <v>-277.35250526069882</v>
      </c>
      <c r="P27" s="58">
        <f>'Interim Cash Flow Reported'!P27/'Interim Cash Flow US$'!P$7</f>
        <v>-172.13782466517867</v>
      </c>
      <c r="Q27" s="58">
        <f>'Interim Cash Flow Reported'!Q27/'Interim Cash Flow US$'!Q$7</f>
        <v>-273.31920048455487</v>
      </c>
      <c r="R27" s="58">
        <f>'Interim Cash Flow Reported'!R27/'Interim Cash Flow US$'!R$7</f>
        <v>-189.5113103987986</v>
      </c>
      <c r="S27" s="58">
        <f>'Interim Cash Flow Reported'!S27/'Interim Cash Flow US$'!S$7</f>
        <v>-209.30895842342042</v>
      </c>
      <c r="T27" s="58">
        <f>'Interim Cash Flow Reported'!T27/'Interim Cash Flow US$'!T$7</f>
        <v>-209.03428364217223</v>
      </c>
      <c r="U27" s="58">
        <f>'Interim Cash Flow Reported'!U27/'Interim Cash Flow US$'!U$7</f>
        <v>-209.08943596079212</v>
      </c>
      <c r="V27" s="58">
        <f>'Interim Cash Flow Reported'!V27/'Interim Cash Flow US$'!V$7</f>
        <v>-379.37096468048873</v>
      </c>
      <c r="W27" s="58">
        <f>'Interim Cash Flow Reported'!W27/'Interim Cash Flow US$'!W$7</f>
        <v>-193.97145374754288</v>
      </c>
      <c r="X27" s="58">
        <f>'Interim Cash Flow Reported'!X27/'Interim Cash Flow US$'!X$7</f>
        <v>-1065.5463434583783</v>
      </c>
      <c r="Y27" s="58">
        <f>'Interim Cash Flow Reported'!Y27/'Interim Cash Flow US$'!Y$7</f>
        <v>-381.35275129494784</v>
      </c>
      <c r="Z27" s="58">
        <f>'Interim Cash Flow Reported'!Z27/'Interim Cash Flow US$'!Z$7</f>
        <v>-312.14989376086538</v>
      </c>
      <c r="AA27" s="58">
        <f>'Interim Cash Flow Reported'!AA27/'Interim Cash Flow US$'!AA$7</f>
        <v>-702.72435897435901</v>
      </c>
      <c r="AB27" s="58">
        <f>'Interim Cash Flow Reported'!AB27/'Interim Cash Flow US$'!AB$7</f>
        <v>-2354.8644338118024</v>
      </c>
    </row>
    <row r="28" spans="1:28" x14ac:dyDescent="0.3">
      <c r="A28" s="85" t="s">
        <v>203</v>
      </c>
      <c r="B28" s="58">
        <f>'Interim Cash Flow Reported'!B29/'Interim Cash Flow US$'!B$7</f>
        <v>0</v>
      </c>
      <c r="C28" s="58">
        <f>'Interim Cash Flow Reported'!C29/'Interim Cash Flow US$'!C$7</f>
        <v>0</v>
      </c>
      <c r="D28" s="58">
        <f>'Interim Cash Flow Reported'!D29/'Interim Cash Flow US$'!D$7</f>
        <v>0</v>
      </c>
      <c r="E28" s="58">
        <f>'Interim Cash Flow Reported'!E29/'Interim Cash Flow US$'!E$7</f>
        <v>0</v>
      </c>
      <c r="F28" s="58">
        <f>'Interim Cash Flow Reported'!F29/'Interim Cash Flow US$'!F$7</f>
        <v>0</v>
      </c>
      <c r="G28" s="58">
        <f>'Interim Cash Flow Reported'!G29/'Interim Cash Flow US$'!G$7</f>
        <v>0</v>
      </c>
      <c r="H28" s="58">
        <f>'Interim Cash Flow Reported'!H29/'Interim Cash Flow US$'!H$7</f>
        <v>0</v>
      </c>
      <c r="I28" s="58">
        <f>'Interim Cash Flow Reported'!I29/'Interim Cash Flow US$'!I$7</f>
        <v>0</v>
      </c>
      <c r="J28" s="58">
        <f>'Interim Cash Flow Reported'!J29/'Interim Cash Flow US$'!J$7</f>
        <v>0</v>
      </c>
      <c r="K28" s="58">
        <f>'Interim Cash Flow Reported'!K29/'Interim Cash Flow US$'!K$7</f>
        <v>0</v>
      </c>
      <c r="L28" s="58">
        <f>'Interim Cash Flow Reported'!L29/'Interim Cash Flow US$'!L$7</f>
        <v>0</v>
      </c>
      <c r="M28" s="58">
        <f>'Interim Cash Flow Reported'!M29/'Interim Cash Flow US$'!M$7</f>
        <v>0</v>
      </c>
      <c r="N28" s="58">
        <f>'Interim Cash Flow Reported'!N29/'Interim Cash Flow US$'!N$7</f>
        <v>0</v>
      </c>
      <c r="O28" s="58">
        <f>'Interim Cash Flow Reported'!O29/'Interim Cash Flow US$'!O$7</f>
        <v>0</v>
      </c>
      <c r="P28" s="58">
        <f>'Interim Cash Flow Reported'!P29/'Interim Cash Flow US$'!P$7</f>
        <v>0</v>
      </c>
      <c r="Q28" s="58">
        <f>'Interim Cash Flow Reported'!Q29/'Interim Cash Flow US$'!Q$7</f>
        <v>0</v>
      </c>
      <c r="R28" s="58">
        <f>'Interim Cash Flow Reported'!R29/'Interim Cash Flow US$'!R$7</f>
        <v>0</v>
      </c>
      <c r="S28" s="58">
        <f>'Interim Cash Flow Reported'!S29/'Interim Cash Flow US$'!S$7</f>
        <v>0</v>
      </c>
      <c r="T28" s="58">
        <f>'Interim Cash Flow Reported'!T29/'Interim Cash Flow US$'!T$7</f>
        <v>0</v>
      </c>
      <c r="U28" s="58">
        <f>'Interim Cash Flow Reported'!U29/'Interim Cash Flow US$'!U$7</f>
        <v>0</v>
      </c>
      <c r="V28" s="58">
        <f>'Interim Cash Flow Reported'!V29/'Interim Cash Flow US$'!V$7</f>
        <v>0</v>
      </c>
      <c r="W28" s="58">
        <f>'Interim Cash Flow Reported'!W29/'Interim Cash Flow US$'!W$7</f>
        <v>0</v>
      </c>
      <c r="X28" s="58">
        <f>'Interim Cash Flow Reported'!X29/'Interim Cash Flow US$'!X$7</f>
        <v>0</v>
      </c>
      <c r="Y28" s="58">
        <f>'Interim Cash Flow Reported'!Y29/'Interim Cash Flow US$'!Y$7</f>
        <v>0</v>
      </c>
      <c r="Z28" s="58">
        <f>'Interim Cash Flow Reported'!Z29/'Interim Cash Flow US$'!Z$7</f>
        <v>0</v>
      </c>
      <c r="AA28" s="58">
        <f>'Interim Cash Flow Reported'!AA29/'Interim Cash Flow US$'!AA$7</f>
        <v>0</v>
      </c>
      <c r="AB28" s="58">
        <f>'Interim Cash Flow Reported'!AB29/'Interim Cash Flow US$'!AB$7</f>
        <v>0</v>
      </c>
    </row>
    <row r="29" spans="1:28" x14ac:dyDescent="0.3">
      <c r="A29" s="85" t="s">
        <v>204</v>
      </c>
      <c r="B29" s="58">
        <f>'Interim Cash Flow Reported'!B30/'Interim Cash Flow US$'!B$7</f>
        <v>0</v>
      </c>
      <c r="C29" s="58">
        <f>'Interim Cash Flow Reported'!C30/'Interim Cash Flow US$'!C$7</f>
        <v>0</v>
      </c>
      <c r="D29" s="58">
        <f>'Interim Cash Flow Reported'!D30/'Interim Cash Flow US$'!D$7</f>
        <v>0</v>
      </c>
      <c r="E29" s="58">
        <f>'Interim Cash Flow Reported'!E30/'Interim Cash Flow US$'!E$7</f>
        <v>0</v>
      </c>
      <c r="F29" s="58">
        <f>'Interim Cash Flow Reported'!F30/'Interim Cash Flow US$'!F$7</f>
        <v>0</v>
      </c>
      <c r="G29" s="58">
        <f>'Interim Cash Flow Reported'!G30/'Interim Cash Flow US$'!G$7</f>
        <v>0</v>
      </c>
      <c r="H29" s="58">
        <f>'Interim Cash Flow Reported'!H30/'Interim Cash Flow US$'!H$7</f>
        <v>0</v>
      </c>
      <c r="I29" s="58">
        <f>'Interim Cash Flow Reported'!I30/'Interim Cash Flow US$'!I$7</f>
        <v>0</v>
      </c>
      <c r="J29" s="58">
        <f>'Interim Cash Flow Reported'!J30/'Interim Cash Flow US$'!J$7</f>
        <v>0</v>
      </c>
      <c r="K29" s="58">
        <f>'Interim Cash Flow Reported'!K30/'Interim Cash Flow US$'!K$7</f>
        <v>0</v>
      </c>
      <c r="L29" s="58">
        <f>'Interim Cash Flow Reported'!L30/'Interim Cash Flow US$'!L$7</f>
        <v>0</v>
      </c>
      <c r="M29" s="58">
        <f>'Interim Cash Flow Reported'!M30/'Interim Cash Flow US$'!M$7</f>
        <v>0</v>
      </c>
      <c r="N29" s="58">
        <f>'Interim Cash Flow Reported'!N30/'Interim Cash Flow US$'!N$7</f>
        <v>0</v>
      </c>
      <c r="O29" s="58">
        <f>'Interim Cash Flow Reported'!O30/'Interim Cash Flow US$'!O$7</f>
        <v>0</v>
      </c>
      <c r="P29" s="58">
        <f>'Interim Cash Flow Reported'!P30/'Interim Cash Flow US$'!P$7</f>
        <v>0</v>
      </c>
      <c r="Q29" s="58">
        <f>'Interim Cash Flow Reported'!Q30/'Interim Cash Flow US$'!Q$7</f>
        <v>0</v>
      </c>
      <c r="R29" s="58">
        <f>'Interim Cash Flow Reported'!R30/'Interim Cash Flow US$'!R$7</f>
        <v>0</v>
      </c>
      <c r="S29" s="58">
        <f>'Interim Cash Flow Reported'!S30/'Interim Cash Flow US$'!S$7</f>
        <v>0</v>
      </c>
      <c r="T29" s="58">
        <f>'Interim Cash Flow Reported'!T30/'Interim Cash Flow US$'!T$7</f>
        <v>0</v>
      </c>
      <c r="U29" s="58">
        <f>'Interim Cash Flow Reported'!U30/'Interim Cash Flow US$'!U$7</f>
        <v>0</v>
      </c>
      <c r="V29" s="58">
        <f>'Interim Cash Flow Reported'!V30/'Interim Cash Flow US$'!V$7</f>
        <v>0</v>
      </c>
      <c r="W29" s="58">
        <f>'Interim Cash Flow Reported'!W30/'Interim Cash Flow US$'!W$7</f>
        <v>0</v>
      </c>
      <c r="X29" s="58">
        <f>'Interim Cash Flow Reported'!X30/'Interim Cash Flow US$'!X$7</f>
        <v>0</v>
      </c>
      <c r="Y29" s="58">
        <f>'Interim Cash Flow Reported'!Y30/'Interim Cash Flow US$'!Y$7</f>
        <v>0</v>
      </c>
      <c r="Z29" s="58">
        <f>'Interim Cash Flow Reported'!Z30/'Interim Cash Flow US$'!Z$7</f>
        <v>0</v>
      </c>
      <c r="AA29" s="58">
        <f>'Interim Cash Flow Reported'!AA30/'Interim Cash Flow US$'!AA$7</f>
        <v>0</v>
      </c>
      <c r="AB29" s="58">
        <f>'Interim Cash Flow Reported'!AB30/'Interim Cash Flow US$'!AB$7</f>
        <v>0</v>
      </c>
    </row>
    <row r="30" spans="1:28" x14ac:dyDescent="0.3">
      <c r="A30" s="85" t="s">
        <v>205</v>
      </c>
      <c r="B30" s="58">
        <f>'Interim Cash Flow Reported'!B31/'Interim Cash Flow US$'!B$7</f>
        <v>-7.2678526725509363</v>
      </c>
      <c r="C30" s="58">
        <f>'Interim Cash Flow Reported'!C31/'Interim Cash Flow US$'!C$7</f>
        <v>0</v>
      </c>
      <c r="D30" s="58">
        <f>'Interim Cash Flow Reported'!D31/'Interim Cash Flow US$'!D$7</f>
        <v>0</v>
      </c>
      <c r="E30" s="58">
        <f>'Interim Cash Flow Reported'!E31/'Interim Cash Flow US$'!E$7</f>
        <v>6.7437957079486877</v>
      </c>
      <c r="F30" s="58">
        <f>'Interim Cash Flow Reported'!F31/'Interim Cash Flow US$'!F$7</f>
        <v>0</v>
      </c>
      <c r="G30" s="58">
        <f>'Interim Cash Flow Reported'!G31/'Interim Cash Flow US$'!G$7</f>
        <v>0</v>
      </c>
      <c r="H30" s="58">
        <f>'Interim Cash Flow Reported'!H31/'Interim Cash Flow US$'!H$7</f>
        <v>0</v>
      </c>
      <c r="I30" s="58">
        <f>'Interim Cash Flow Reported'!I31/'Interim Cash Flow US$'!I$7</f>
        <v>0</v>
      </c>
      <c r="J30" s="58">
        <f>'Interim Cash Flow Reported'!J31/'Interim Cash Flow US$'!J$7</f>
        <v>0</v>
      </c>
      <c r="K30" s="58">
        <f>'Interim Cash Flow Reported'!K31/'Interim Cash Flow US$'!K$7</f>
        <v>0</v>
      </c>
      <c r="L30" s="58">
        <f>'Interim Cash Flow Reported'!L31/'Interim Cash Flow US$'!L$7</f>
        <v>0</v>
      </c>
      <c r="M30" s="58">
        <f>'Interim Cash Flow Reported'!M31/'Interim Cash Flow US$'!M$7</f>
        <v>0</v>
      </c>
      <c r="N30" s="58">
        <f>'Interim Cash Flow Reported'!N31/'Interim Cash Flow US$'!N$7</f>
        <v>0</v>
      </c>
      <c r="O30" s="58">
        <f>'Interim Cash Flow Reported'!O31/'Interim Cash Flow US$'!O$7</f>
        <v>0</v>
      </c>
      <c r="P30" s="58">
        <f>'Interim Cash Flow Reported'!P31/'Interim Cash Flow US$'!P$7</f>
        <v>0</v>
      </c>
      <c r="Q30" s="58">
        <f>'Interim Cash Flow Reported'!Q31/'Interim Cash Flow US$'!Q$7</f>
        <v>0</v>
      </c>
      <c r="R30" s="58">
        <f>'Interim Cash Flow Reported'!R31/'Interim Cash Flow US$'!R$7</f>
        <v>0</v>
      </c>
      <c r="S30" s="58">
        <f>'Interim Cash Flow Reported'!S31/'Interim Cash Flow US$'!S$7</f>
        <v>0</v>
      </c>
      <c r="T30" s="58">
        <f>'Interim Cash Flow Reported'!T31/'Interim Cash Flow US$'!T$7</f>
        <v>0</v>
      </c>
      <c r="U30" s="58">
        <f>'Interim Cash Flow Reported'!U31/'Interim Cash Flow US$'!U$7</f>
        <v>0</v>
      </c>
      <c r="V30" s="58">
        <f>'Interim Cash Flow Reported'!V31/'Interim Cash Flow US$'!V$7</f>
        <v>0</v>
      </c>
      <c r="W30" s="58">
        <f>'Interim Cash Flow Reported'!W31/'Interim Cash Flow US$'!W$7</f>
        <v>0</v>
      </c>
      <c r="X30" s="58">
        <f>'Interim Cash Flow Reported'!X31/'Interim Cash Flow US$'!X$7</f>
        <v>0</v>
      </c>
      <c r="Y30" s="58">
        <f>'Interim Cash Flow Reported'!Y31/'Interim Cash Flow US$'!Y$7</f>
        <v>0</v>
      </c>
      <c r="Z30" s="58">
        <f>'Interim Cash Flow Reported'!Z31/'Interim Cash Flow US$'!Z$7</f>
        <v>0</v>
      </c>
      <c r="AA30" s="58">
        <f>'Interim Cash Flow Reported'!AA31/'Interim Cash Flow US$'!AA$7</f>
        <v>0</v>
      </c>
      <c r="AB30" s="58">
        <f>'Interim Cash Flow Reported'!AB31/'Interim Cash Flow US$'!AB$7</f>
        <v>0</v>
      </c>
    </row>
    <row r="31" spans="1:28" x14ac:dyDescent="0.3">
      <c r="A31" s="85" t="s">
        <v>206</v>
      </c>
      <c r="B31" s="58">
        <f>'Interim Cash Flow Reported'!B32/'Interim Cash Flow US$'!B$7</f>
        <v>0</v>
      </c>
      <c r="C31" s="58">
        <f>'Interim Cash Flow Reported'!C32/'Interim Cash Flow US$'!C$7</f>
        <v>0</v>
      </c>
      <c r="D31" s="58">
        <f>'Interim Cash Flow Reported'!D32/'Interim Cash Flow US$'!D$7</f>
        <v>0</v>
      </c>
      <c r="E31" s="58">
        <f>'Interim Cash Flow Reported'!E32/'Interim Cash Flow US$'!E$7</f>
        <v>0</v>
      </c>
      <c r="F31" s="58">
        <f>'Interim Cash Flow Reported'!F32/'Interim Cash Flow US$'!F$7</f>
        <v>0</v>
      </c>
      <c r="G31" s="58">
        <f>'Interim Cash Flow Reported'!G32/'Interim Cash Flow US$'!G$7</f>
        <v>0</v>
      </c>
      <c r="H31" s="58">
        <f>'Interim Cash Flow Reported'!H32/'Interim Cash Flow US$'!H$7</f>
        <v>0</v>
      </c>
      <c r="I31" s="58">
        <f>'Interim Cash Flow Reported'!I32/'Interim Cash Flow US$'!I$7</f>
        <v>0</v>
      </c>
      <c r="J31" s="58">
        <f>'Interim Cash Flow Reported'!J32/'Interim Cash Flow US$'!J$7</f>
        <v>0</v>
      </c>
      <c r="K31" s="58">
        <f>'Interim Cash Flow Reported'!K32/'Interim Cash Flow US$'!K$7</f>
        <v>0</v>
      </c>
      <c r="L31" s="58">
        <f>'Interim Cash Flow Reported'!L32/'Interim Cash Flow US$'!L$7</f>
        <v>0</v>
      </c>
      <c r="M31" s="58">
        <f>'Interim Cash Flow Reported'!M32/'Interim Cash Flow US$'!M$7</f>
        <v>0</v>
      </c>
      <c r="N31" s="58">
        <f>'Interim Cash Flow Reported'!N32/'Interim Cash Flow US$'!N$7</f>
        <v>0</v>
      </c>
      <c r="O31" s="58">
        <f>'Interim Cash Flow Reported'!O32/'Interim Cash Flow US$'!O$7</f>
        <v>0</v>
      </c>
      <c r="P31" s="58">
        <f>'Interim Cash Flow Reported'!P32/'Interim Cash Flow US$'!P$7</f>
        <v>0</v>
      </c>
      <c r="Q31" s="58">
        <f>'Interim Cash Flow Reported'!Q32/'Interim Cash Flow US$'!Q$7</f>
        <v>0</v>
      </c>
      <c r="R31" s="58">
        <f>'Interim Cash Flow Reported'!R32/'Interim Cash Flow US$'!R$7</f>
        <v>0</v>
      </c>
      <c r="S31" s="58">
        <f>'Interim Cash Flow Reported'!S32/'Interim Cash Flow US$'!S$7</f>
        <v>0</v>
      </c>
      <c r="T31" s="58">
        <f>'Interim Cash Flow Reported'!T32/'Interim Cash Flow US$'!T$7</f>
        <v>0</v>
      </c>
      <c r="U31" s="58">
        <f>'Interim Cash Flow Reported'!U32/'Interim Cash Flow US$'!U$7</f>
        <v>0</v>
      </c>
      <c r="V31" s="58">
        <f>'Interim Cash Flow Reported'!V32/'Interim Cash Flow US$'!V$7</f>
        <v>0</v>
      </c>
      <c r="W31" s="58">
        <f>'Interim Cash Flow Reported'!W32/'Interim Cash Flow US$'!W$7</f>
        <v>0</v>
      </c>
      <c r="X31" s="58">
        <f>'Interim Cash Flow Reported'!X32/'Interim Cash Flow US$'!X$7</f>
        <v>0</v>
      </c>
      <c r="Y31" s="58">
        <f>'Interim Cash Flow Reported'!Y32/'Interim Cash Flow US$'!Y$7</f>
        <v>0</v>
      </c>
      <c r="Z31" s="58">
        <f>'Interim Cash Flow Reported'!Z32/'Interim Cash Flow US$'!Z$7</f>
        <v>0</v>
      </c>
      <c r="AA31" s="58">
        <f>'Interim Cash Flow Reported'!AA32/'Interim Cash Flow US$'!AA$7</f>
        <v>0</v>
      </c>
      <c r="AB31" s="58">
        <f>'Interim Cash Flow Reported'!AB32/'Interim Cash Flow US$'!AB$7</f>
        <v>0</v>
      </c>
    </row>
    <row r="32" spans="1:28" x14ac:dyDescent="0.3">
      <c r="A32" s="85" t="s">
        <v>207</v>
      </c>
      <c r="B32" s="60">
        <f>'Interim Cash Flow Reported'!B33/'Interim Cash Flow US$'!B$7</f>
        <v>-12.113087787584893</v>
      </c>
      <c r="C32" s="60">
        <f>'Interim Cash Flow Reported'!C33/'Interim Cash Flow US$'!C$7</f>
        <v>-5.6925841892540276</v>
      </c>
      <c r="D32" s="60">
        <f>'Interim Cash Flow Reported'!D33/'Interim Cash Flow US$'!D$7</f>
        <v>-0.76536274367236357</v>
      </c>
      <c r="E32" s="60">
        <f>'Interim Cash Flow Reported'!E33/'Interim Cash Flow US$'!E$7</f>
        <v>-44.958638052991247</v>
      </c>
      <c r="F32" s="60">
        <f>'Interim Cash Flow Reported'!F33/'Interim Cash Flow US$'!F$7</f>
        <v>-24.01554460705475</v>
      </c>
      <c r="G32" s="60">
        <f>'Interim Cash Flow Reported'!G33/'Interim Cash Flow US$'!G$7</f>
        <v>-0.77583732243023285</v>
      </c>
      <c r="H32" s="60">
        <f>'Interim Cash Flow Reported'!H33/'Interim Cash Flow US$'!H$7</f>
        <v>0</v>
      </c>
      <c r="I32" s="60">
        <f>'Interim Cash Flow Reported'!I33/'Interim Cash Flow US$'!I$7</f>
        <v>0</v>
      </c>
      <c r="J32" s="60">
        <f>'Interim Cash Flow Reported'!J33/'Interim Cash Flow US$'!J$7</f>
        <v>-2.2663403136614995</v>
      </c>
      <c r="K32" s="60">
        <f>'Interim Cash Flow Reported'!K33/'Interim Cash Flow US$'!K$7</f>
        <v>-6.6815144766146997</v>
      </c>
      <c r="L32" s="60">
        <f>'Interim Cash Flow Reported'!L33/'Interim Cash Flow US$'!L$7</f>
        <v>-2.39268794563813</v>
      </c>
      <c r="M32" s="60">
        <f>'Interim Cash Flow Reported'!M33/'Interim Cash Flow US$'!M$7</f>
        <v>-8.6583861010500254</v>
      </c>
      <c r="N32" s="60">
        <f>'Interim Cash Flow Reported'!N33/'Interim Cash Flow US$'!N$7</f>
        <v>-3.1643340003980138</v>
      </c>
      <c r="O32" s="60">
        <f>'Interim Cash Flow Reported'!O33/'Interim Cash Flow US$'!O$7</f>
        <v>-3.0989106733038976</v>
      </c>
      <c r="P32" s="60">
        <f>'Interim Cash Flow Reported'!P33/'Interim Cash Flow US$'!P$7</f>
        <v>0</v>
      </c>
      <c r="Q32" s="60">
        <f>'Interim Cash Flow Reported'!Q33/'Interim Cash Flow US$'!Q$7</f>
        <v>-3.0284675953967297</v>
      </c>
      <c r="R32" s="60">
        <f>'Interim Cash Flow Reported'!R33/'Interim Cash Flow US$'!R$7</f>
        <v>0</v>
      </c>
      <c r="S32" s="60">
        <f>'Interim Cash Flow Reported'!S33/'Interim Cash Flow US$'!S$7</f>
        <v>0</v>
      </c>
      <c r="T32" s="60">
        <f>'Interim Cash Flow Reported'!T33/'Interim Cash Flow US$'!T$7</f>
        <v>0</v>
      </c>
      <c r="U32" s="60">
        <f>'Interim Cash Flow Reported'!U33/'Interim Cash Flow US$'!U$7</f>
        <v>-0.75757042014779752</v>
      </c>
      <c r="V32" s="60">
        <f>'Interim Cash Flow Reported'!V33/'Interim Cash Flow US$'!V$7</f>
        <v>0</v>
      </c>
      <c r="W32" s="60">
        <f>'Interim Cash Flow Reported'!W33/'Interim Cash Flow US$'!W$7</f>
        <v>-44.707175213188329</v>
      </c>
      <c r="X32" s="60">
        <f>'Interim Cash Flow Reported'!X33/'Interim Cash Flow US$'!X$7</f>
        <v>80.306353868461159</v>
      </c>
      <c r="Y32" s="60">
        <f>'Interim Cash Flow Reported'!Y33/'Interim Cash Flow US$'!Y$7</f>
        <v>-34.531942046392913</v>
      </c>
      <c r="Z32" s="60">
        <f>'Interim Cash Flow Reported'!Z33/'Interim Cash Flow US$'!Z$7</f>
        <v>-2.3179447556499904</v>
      </c>
      <c r="AA32" s="60">
        <f>'Interim Cash Flow Reported'!AA33/'Interim Cash Flow US$'!AA$7</f>
        <v>-3.2051282051282053</v>
      </c>
      <c r="AB32" s="60">
        <f>'Interim Cash Flow Reported'!AB33/'Interim Cash Flow US$'!AB$7</f>
        <v>-156.29984051036683</v>
      </c>
    </row>
    <row r="33" spans="1:28" x14ac:dyDescent="0.3">
      <c r="A33" s="14" t="s">
        <v>208</v>
      </c>
      <c r="B33" s="74">
        <f t="shared" ref="B33:K33" si="22">SUM(B23:B32)</f>
        <v>116.28564276081501</v>
      </c>
      <c r="C33" s="74">
        <f t="shared" si="22"/>
        <v>-118.73104166158399</v>
      </c>
      <c r="D33" s="74">
        <f t="shared" si="22"/>
        <v>104.08933313944145</v>
      </c>
      <c r="E33" s="74">
        <f t="shared" si="22"/>
        <v>-58.446229468888632</v>
      </c>
      <c r="F33" s="74">
        <f t="shared" si="22"/>
        <v>232.15026453486254</v>
      </c>
      <c r="G33" s="74">
        <f t="shared" si="22"/>
        <v>667.99593461243046</v>
      </c>
      <c r="H33" s="74">
        <f t="shared" si="22"/>
        <v>-84.383654119073014</v>
      </c>
      <c r="I33" s="74">
        <f t="shared" si="22"/>
        <v>-436.11839640314724</v>
      </c>
      <c r="J33" s="74">
        <f t="shared" si="22"/>
        <v>417.76206448493645</v>
      </c>
      <c r="K33" s="74">
        <f t="shared" si="22"/>
        <v>374.16481069042317</v>
      </c>
      <c r="L33" s="74">
        <f t="shared" ref="L33:M33" si="23">SUM(L23:L32)</f>
        <v>-161.10765500630077</v>
      </c>
      <c r="M33" s="74">
        <f t="shared" si="23"/>
        <v>-223.54378660892792</v>
      </c>
      <c r="N33" s="74">
        <f t="shared" ref="N33:O33" si="24">SUM(N23:N32)</f>
        <v>363.10732654567204</v>
      </c>
      <c r="O33" s="74">
        <f t="shared" si="24"/>
        <v>106.91241822898448</v>
      </c>
      <c r="P33" s="74">
        <f t="shared" ref="P33:Q33" si="25">SUM(P23:P32)</f>
        <v>54.319046894345291</v>
      </c>
      <c r="Q33" s="74">
        <f t="shared" si="25"/>
        <v>-314.20351302241068</v>
      </c>
      <c r="R33" s="74">
        <f t="shared" ref="R33:S33" si="26">SUM(R23:R32)</f>
        <v>-227.11276087475071</v>
      </c>
      <c r="S33" s="74">
        <f t="shared" si="26"/>
        <v>-284.80968985472566</v>
      </c>
      <c r="T33" s="74">
        <f t="shared" ref="T33:U33" si="27">SUM(T23:T32)</f>
        <v>-278.71237818956297</v>
      </c>
      <c r="U33" s="74">
        <f t="shared" si="27"/>
        <v>-301.51302721882337</v>
      </c>
      <c r="V33" s="74">
        <f t="shared" ref="V33:Y33" si="28">SUM(V23:V32)</f>
        <v>288.44118532681563</v>
      </c>
      <c r="W33" s="74">
        <f t="shared" si="28"/>
        <v>2948.5103136568882</v>
      </c>
      <c r="X33" s="74">
        <f t="shared" si="28"/>
        <v>-156.89482098375294</v>
      </c>
      <c r="Y33" s="74">
        <f t="shared" si="28"/>
        <v>692.14022971248392</v>
      </c>
      <c r="Z33" s="74">
        <f t="shared" ref="Z33:AB33" si="29">SUM(Z23:Z32)</f>
        <v>-153.7570021247827</v>
      </c>
      <c r="AA33" s="74">
        <f t="shared" si="29"/>
        <v>595.35256410256409</v>
      </c>
      <c r="AB33" s="74">
        <f t="shared" si="29"/>
        <v>2879.5853269537483</v>
      </c>
    </row>
    <row r="34" spans="1:28" ht="15" thickBot="1" x14ac:dyDescent="0.35">
      <c r="A34" s="14" t="s">
        <v>209</v>
      </c>
      <c r="B34" s="76">
        <f t="shared" ref="B34:K34" si="30">B13+B22+B33</f>
        <v>330.28352700814816</v>
      </c>
      <c r="C34" s="76">
        <f t="shared" si="30"/>
        <v>36.595184073775869</v>
      </c>
      <c r="D34" s="76">
        <f t="shared" si="30"/>
        <v>-146.18428404142151</v>
      </c>
      <c r="E34" s="76">
        <f t="shared" si="30"/>
        <v>-451.83431243256211</v>
      </c>
      <c r="F34" s="76">
        <f t="shared" si="30"/>
        <v>-243.79416495040439</v>
      </c>
      <c r="G34" s="76">
        <f t="shared" si="30"/>
        <v>-16.29258377103497</v>
      </c>
      <c r="H34" s="76">
        <f t="shared" si="30"/>
        <v>100.49326081453236</v>
      </c>
      <c r="I34" s="76">
        <f t="shared" si="30"/>
        <v>86.17459722742592</v>
      </c>
      <c r="J34" s="76">
        <f t="shared" si="30"/>
        <v>367.90257758438338</v>
      </c>
      <c r="K34" s="76">
        <f t="shared" si="30"/>
        <v>23.014105419450686</v>
      </c>
      <c r="L34" s="76">
        <f t="shared" ref="L34:O34" si="31">L13+L22+L33</f>
        <v>-98.897768419709337</v>
      </c>
      <c r="M34" s="76">
        <f t="shared" si="31"/>
        <v>-406.15702074016485</v>
      </c>
      <c r="N34" s="76">
        <f t="shared" si="31"/>
        <v>432.72267455442824</v>
      </c>
      <c r="O34" s="76">
        <f t="shared" si="31"/>
        <v>-266.50631790413502</v>
      </c>
      <c r="P34" s="76">
        <f t="shared" ref="P34:S34" si="32">P13+P22+P33</f>
        <v>-3.0602279940476649</v>
      </c>
      <c r="Q34" s="76">
        <f t="shared" si="32"/>
        <v>-180.19382192610541</v>
      </c>
      <c r="R34" s="76">
        <f t="shared" si="32"/>
        <v>716.6836460716471</v>
      </c>
      <c r="S34" s="76">
        <f t="shared" si="32"/>
        <v>9.7179159268016519</v>
      </c>
      <c r="T34" s="76">
        <f t="shared" ref="T34:U34" si="33">T13+T22+T33</f>
        <v>282.49923115409501</v>
      </c>
      <c r="U34" s="76">
        <f t="shared" si="33"/>
        <v>97.726584199065826</v>
      </c>
      <c r="V34" s="76">
        <f t="shared" ref="V34:Y34" si="34">V13+V22+V33</f>
        <v>324.21683622006407</v>
      </c>
      <c r="W34" s="76">
        <f t="shared" si="34"/>
        <v>1818.5725143171123</v>
      </c>
      <c r="X34" s="76">
        <f t="shared" si="34"/>
        <v>-848.42175707327965</v>
      </c>
      <c r="Y34" s="76">
        <f t="shared" si="34"/>
        <v>-150.13887846257808</v>
      </c>
      <c r="Z34" s="76">
        <f t="shared" ref="Z34:AB34" si="35">Z13+Z22+Z33</f>
        <v>-201.66119374154923</v>
      </c>
      <c r="AA34" s="76">
        <f t="shared" si="35"/>
        <v>-319.71153846153834</v>
      </c>
      <c r="AB34" s="76">
        <f t="shared" si="35"/>
        <v>2067.7830940988838</v>
      </c>
    </row>
    <row r="35" spans="1:28" ht="15" thickTop="1" x14ac:dyDescent="0.3">
      <c r="A35" s="85" t="s">
        <v>210</v>
      </c>
      <c r="B35" s="58">
        <f>'Interim Cash Flow Reported'!B36/'Interim Cash Flow US$'!B$7</f>
        <v>0</v>
      </c>
      <c r="C35" s="58">
        <f>'Interim Cash Flow Reported'!C36/'Interim Cash Flow US$'!C$7</f>
        <v>-2.4396789382517259</v>
      </c>
      <c r="D35" s="58">
        <f>'Interim Cash Flow Reported'!D36/'Interim Cash Flow US$'!D$7</f>
        <v>18.368705848136724</v>
      </c>
      <c r="E35" s="58">
        <f>'Interim Cash Flow Reported'!E36/'Interim Cash Flow US$'!E$7</f>
        <v>-2.2479319026495626</v>
      </c>
      <c r="F35" s="58">
        <f>'Interim Cash Flow Reported'!F36/'Interim Cash Flow US$'!F$7</f>
        <v>-15.282619295398476</v>
      </c>
      <c r="G35" s="58">
        <f>'Interim Cash Flow Reported'!G36/'Interim Cash Flow US$'!G$7</f>
        <v>-3.8791866121511642</v>
      </c>
      <c r="H35" s="58">
        <f>'Interim Cash Flow Reported'!H36/'Interim Cash Flow US$'!H$7</f>
        <v>3.0684965134208371</v>
      </c>
      <c r="I35" s="58">
        <f>'Interim Cash Flow Reported'!I36/'Interim Cash Flow US$'!I$7</f>
        <v>3.7467216185837393</v>
      </c>
      <c r="J35" s="58">
        <f>'Interim Cash Flow Reported'!J36/'Interim Cash Flow US$'!J$7</f>
        <v>-3.021787084881999</v>
      </c>
      <c r="K35" s="58">
        <f>'Interim Cash Flow Reported'!K36/'Interim Cash Flow US$'!K$7</f>
        <v>-1.4847809948032666</v>
      </c>
      <c r="L35" s="58">
        <f>'Interim Cash Flow Reported'!L36/'Interim Cash Flow US$'!L$7</f>
        <v>-23.129316807835256</v>
      </c>
      <c r="M35" s="58">
        <f>'Interim Cash Flow Reported'!M36/'Interim Cash Flow US$'!M$7</f>
        <v>9.4455121102363915</v>
      </c>
      <c r="N35" s="58">
        <f>'Interim Cash Flow Reported'!N36/'Interim Cash Flow US$'!N$7</f>
        <v>6.3286680007960276</v>
      </c>
      <c r="O35" s="58">
        <f>'Interim Cash Flow Reported'!O36/'Interim Cash Flow US$'!O$7</f>
        <v>2.3241830049779231</v>
      </c>
      <c r="P35" s="58">
        <f>'Interim Cash Flow Reported'!P36/'Interim Cash Flow US$'!P$7</f>
        <v>0</v>
      </c>
      <c r="Q35" s="58">
        <f>'Interim Cash Flow Reported'!Q36/'Interim Cash Flow US$'!Q$7</f>
        <v>12.113870381586919</v>
      </c>
      <c r="R35" s="58">
        <f>'Interim Cash Flow Reported'!R36/'Interim Cash Flow US$'!R$7</f>
        <v>-0.75202900951904206</v>
      </c>
      <c r="S35" s="58">
        <f>'Interim Cash Flow Reported'!S36/'Interim Cash Flow US$'!S$7</f>
        <v>-2.9901279774774348</v>
      </c>
      <c r="T35" s="58">
        <f>'Interim Cash Flow Reported'!T36/'Interim Cash Flow US$'!T$7</f>
        <v>-4.5442235574385261</v>
      </c>
      <c r="U35" s="58">
        <f>'Interim Cash Flow Reported'!U36/'Interim Cash Flow US$'!U$7</f>
        <v>2.2727112604433923</v>
      </c>
      <c r="V35" s="58">
        <f>'Interim Cash Flow Reported'!V36/'Interim Cash Flow US$'!V$7</f>
        <v>46.955541797388584</v>
      </c>
      <c r="W35" s="58">
        <f>'Interim Cash Flow Reported'!W36/'Interim Cash Flow US$'!W$7</f>
        <v>-15.142752894789593</v>
      </c>
      <c r="X35" s="58">
        <f>'Interim Cash Flow Reported'!X36/'Interim Cash Flow US$'!X$7</f>
        <v>-27.512361973454286</v>
      </c>
      <c r="Y35" s="58">
        <f>'Interim Cash Flow Reported'!Y36/'Interim Cash Flow US$'!Y$7</f>
        <v>-39.786802792583138</v>
      </c>
      <c r="Z35" s="58">
        <f>'Interim Cash Flow Reported'!Z36/'Interim Cash Flow US$'!Z$7</f>
        <v>-13.907668533899944</v>
      </c>
      <c r="AA35" s="58">
        <f>'Interim Cash Flow Reported'!AA36/'Interim Cash Flow US$'!AA$7</f>
        <v>-15.224358974358974</v>
      </c>
      <c r="AB35" s="58">
        <f>'Interim Cash Flow Reported'!AB36/'Interim Cash Flow US$'!AB$7</f>
        <v>42.264752791068581</v>
      </c>
    </row>
    <row r="36" spans="1:28" x14ac:dyDescent="0.3">
      <c r="A36" s="14" t="s">
        <v>211</v>
      </c>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row>
    <row r="37" spans="1:28" x14ac:dyDescent="0.3">
      <c r="A37" s="14" t="s">
        <v>212</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row>
    <row r="38" spans="1:28" x14ac:dyDescent="0.3">
      <c r="A38" s="8" t="s">
        <v>213</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row>
    <row r="39" spans="1:28" x14ac:dyDescent="0.3">
      <c r="A39" s="85" t="s">
        <v>291</v>
      </c>
      <c r="B39" s="21">
        <f t="shared" ref="B39:K39" si="36">B13+B14+B15</f>
        <v>338.35891886653803</v>
      </c>
      <c r="C39" s="21">
        <f t="shared" si="36"/>
        <v>252.91338326542893</v>
      </c>
      <c r="D39" s="21">
        <f t="shared" si="36"/>
        <v>-81.893813572942904</v>
      </c>
      <c r="E39" s="21">
        <f t="shared" si="36"/>
        <v>-466.8205251168925</v>
      </c>
      <c r="F39" s="21">
        <f t="shared" si="36"/>
        <v>-502.14320542023569</v>
      </c>
      <c r="G39" s="21">
        <f t="shared" si="36"/>
        <v>-500.41507296750029</v>
      </c>
      <c r="H39" s="21">
        <f t="shared" si="36"/>
        <v>283.83592749142736</v>
      </c>
      <c r="I39" s="21">
        <f t="shared" si="36"/>
        <v>355.93855376545508</v>
      </c>
      <c r="J39" s="21">
        <f t="shared" si="36"/>
        <v>77.055570664490943</v>
      </c>
      <c r="K39" s="21">
        <f t="shared" si="36"/>
        <v>-48.255382331106141</v>
      </c>
      <c r="L39" s="21">
        <f t="shared" ref="L39:O39" si="37">L13+L14+L15</f>
        <v>259.20786077746413</v>
      </c>
      <c r="M39" s="21">
        <f t="shared" si="37"/>
        <v>-32.272166376640968</v>
      </c>
      <c r="N39" s="21">
        <f t="shared" si="37"/>
        <v>153.47019901930355</v>
      </c>
      <c r="O39" s="21">
        <f t="shared" si="37"/>
        <v>-6.1978213466077383</v>
      </c>
      <c r="P39" s="21">
        <f t="shared" ref="P39:S39" si="38">P13+P14+P15</f>
        <v>138.47531673065481</v>
      </c>
      <c r="Q39" s="21">
        <f t="shared" si="38"/>
        <v>107.51059963658386</v>
      </c>
      <c r="R39" s="21">
        <f t="shared" si="38"/>
        <v>1649.1996178752593</v>
      </c>
      <c r="S39" s="21">
        <f t="shared" si="38"/>
        <v>402.17221297071495</v>
      </c>
      <c r="T39" s="21">
        <f t="shared" ref="T39:U39" si="39">T13+T14+T15</f>
        <v>403.67852601912233</v>
      </c>
      <c r="U39" s="21">
        <f t="shared" si="39"/>
        <v>338.63397780606539</v>
      </c>
      <c r="V39" s="21">
        <f t="shared" ref="V39:Y39" si="40">V13+V14+V15</f>
        <v>-291.42248956791963</v>
      </c>
      <c r="W39" s="21">
        <f t="shared" si="40"/>
        <v>-1053.5029513946474</v>
      </c>
      <c r="X39" s="21">
        <f t="shared" si="40"/>
        <v>-420.86478045878727</v>
      </c>
      <c r="Y39" s="21">
        <f t="shared" si="40"/>
        <v>-844.53119135200063</v>
      </c>
      <c r="Z39" s="21">
        <f t="shared" ref="Z39:AB39" si="41">Z13+Z14+Z15</f>
        <v>-820.55244350009673</v>
      </c>
      <c r="AA39" s="21">
        <f t="shared" si="41"/>
        <v>-1191.5064102564102</v>
      </c>
      <c r="AB39" s="21">
        <f t="shared" si="41"/>
        <v>208.133971291866</v>
      </c>
    </row>
    <row r="40" spans="1:28" x14ac:dyDescent="0.3">
      <c r="A40" s="85" t="s">
        <v>214</v>
      </c>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row>
    <row r="41" spans="1:28" x14ac:dyDescent="0.3">
      <c r="A41" s="8" t="s">
        <v>215</v>
      </c>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row>
    <row r="42" spans="1:28" x14ac:dyDescent="0.3">
      <c r="A42" s="85" t="s">
        <v>216</v>
      </c>
      <c r="B42" s="2">
        <f>IFERROR(B7/-(B13+B14),"")</f>
        <v>-3.668567437559808E-3</v>
      </c>
      <c r="C42" s="2">
        <f t="shared" ref="C42:K42" si="42">IFERROR(C7/-(C13+C14),"")</f>
        <v>-5.0069149301324506E-3</v>
      </c>
      <c r="D42" s="2">
        <f t="shared" si="42"/>
        <v>1.4974782148245613E-2</v>
      </c>
      <c r="E42" s="2">
        <f t="shared" si="42"/>
        <v>2.8315586543720189E-3</v>
      </c>
      <c r="F42" s="2">
        <f t="shared" si="42"/>
        <v>2.2640027483213426E-3</v>
      </c>
      <c r="G42" s="2">
        <f t="shared" si="42"/>
        <v>2.0897365344654082E-3</v>
      </c>
      <c r="H42" s="2">
        <f t="shared" si="42"/>
        <v>-5.3945864917460317E-3</v>
      </c>
      <c r="I42" s="2">
        <f t="shared" si="42"/>
        <v>-3.7730725635593235E-3</v>
      </c>
      <c r="J42" s="2">
        <f t="shared" si="42"/>
        <v>-1.7348857805940605E-2</v>
      </c>
      <c r="K42" s="2">
        <f t="shared" si="42"/>
        <v>2.7491045454545462E-2</v>
      </c>
      <c r="L42" s="2">
        <f t="shared" ref="L42:O42" si="43">IFERROR(L7/-(L13+L14),"")</f>
        <v>-4.8520512111111091E-3</v>
      </c>
      <c r="M42" s="2">
        <f t="shared" si="43"/>
        <v>3.75355702502271E-2</v>
      </c>
      <c r="N42" s="2">
        <f t="shared" si="43"/>
        <v>-8.2793842379903122E-3</v>
      </c>
      <c r="O42" s="2">
        <f t="shared" si="43"/>
        <v>0.12816177533368303</v>
      </c>
      <c r="P42" s="2">
        <f t="shared" ref="P42:S42" si="44">IFERROR(P7/-(P13+P14),"")</f>
        <v>-9.6524853030857515E-3</v>
      </c>
      <c r="Q42" s="2">
        <f t="shared" si="44"/>
        <v>-1.2372430070921986E-2</v>
      </c>
      <c r="R42" s="2">
        <f t="shared" si="44"/>
        <v>-8.0702768757599471E-4</v>
      </c>
      <c r="S42" s="2">
        <f t="shared" si="44"/>
        <v>-3.3324691978623327E-3</v>
      </c>
      <c r="T42" s="2">
        <f t="shared" ref="T42:U42" si="45">IFERROR(T7/-(T13+T14),"")</f>
        <v>-3.2708144988000433E-3</v>
      </c>
      <c r="U42" s="2">
        <f t="shared" si="45"/>
        <v>-4.090198479076268E-3</v>
      </c>
      <c r="V42" s="2">
        <f t="shared" ref="V42:Y42" si="46">IFERROR(V7/-(V13+V14),"")</f>
        <v>4.5805205561368382E-3</v>
      </c>
      <c r="W42" s="2">
        <f t="shared" si="46"/>
        <v>1.3145726501736161E-3</v>
      </c>
      <c r="X42" s="2">
        <f t="shared" si="46"/>
        <v>3.1841928213028167E-3</v>
      </c>
      <c r="Y42" s="2">
        <f t="shared" si="46"/>
        <v>1.5689570380194519E-3</v>
      </c>
      <c r="Z42" s="2">
        <f t="shared" ref="Z42:AB42" si="47">IFERROR(Z7/-(Z13+Z14),"")</f>
        <v>1.5698997774133078E-3</v>
      </c>
      <c r="AA42" s="2">
        <f t="shared" si="47"/>
        <v>1.043204286671132E-3</v>
      </c>
      <c r="AB42" s="2">
        <f t="shared" si="47"/>
        <v>-6.142640625000001E-3</v>
      </c>
    </row>
    <row r="43" spans="1:28" x14ac:dyDescent="0.3">
      <c r="A43" s="85" t="s">
        <v>217</v>
      </c>
      <c r="B43" s="2">
        <f>IFERROR(B12/-(B13+B14),"")</f>
        <v>-1.3301435406698565</v>
      </c>
      <c r="C43" s="2">
        <f t="shared" ref="C43:K43" si="48">IFERROR(C12/-(C13+C14),"")</f>
        <v>-0.36754966887417218</v>
      </c>
      <c r="D43" s="2">
        <f t="shared" si="48"/>
        <v>-3.947368421052631</v>
      </c>
      <c r="E43" s="2">
        <f t="shared" si="48"/>
        <v>-0.34499205087440382</v>
      </c>
      <c r="F43" s="2">
        <f t="shared" si="48"/>
        <v>0</v>
      </c>
      <c r="G43" s="2">
        <f t="shared" si="48"/>
        <v>0.36100628930817608</v>
      </c>
      <c r="H43" s="2">
        <f t="shared" si="48"/>
        <v>2.0380952380952384</v>
      </c>
      <c r="I43" s="2">
        <f t="shared" si="48"/>
        <v>-0.75211864406779683</v>
      </c>
      <c r="J43" s="2">
        <f t="shared" si="48"/>
        <v>-8.3564356435643603</v>
      </c>
      <c r="K43" s="2">
        <f t="shared" si="48"/>
        <v>5.196969696969699</v>
      </c>
      <c r="L43" s="2">
        <f t="shared" ref="L43:O43" si="49">IFERROR(L12/-(L13+L14),"")</f>
        <v>2.1296296296296289</v>
      </c>
      <c r="M43" s="2">
        <f t="shared" si="49"/>
        <v>-11.558139534883733</v>
      </c>
      <c r="N43" s="2">
        <f t="shared" si="49"/>
        <v>-4.2849740932642515</v>
      </c>
      <c r="O43" s="2">
        <f t="shared" si="49"/>
        <v>29.538461538461704</v>
      </c>
      <c r="P43" s="2">
        <f t="shared" ref="P43:S43" si="50">IFERROR(P12/-(P13+P14),"")</f>
        <v>4.649717514124295</v>
      </c>
      <c r="Q43" s="2">
        <f t="shared" si="50"/>
        <v>2.7517730496453914</v>
      </c>
      <c r="R43" s="2">
        <f t="shared" si="50"/>
        <v>-0.42811501597444085</v>
      </c>
      <c r="S43" s="2">
        <f t="shared" si="50"/>
        <v>-0.41340782122905029</v>
      </c>
      <c r="T43" s="2">
        <f t="shared" ref="T43:U43" si="51">IFERROR(T12/-(T13+T14),"")</f>
        <v>1.0750469043151973</v>
      </c>
      <c r="U43" s="2">
        <f t="shared" si="51"/>
        <v>1.3779342723004697</v>
      </c>
      <c r="V43" s="2">
        <f t="shared" ref="V43:Y43" si="52">IFERROR(V12/-(V13+V14),"")</f>
        <v>-0.24936386768447838</v>
      </c>
      <c r="W43" s="2">
        <f t="shared" si="52"/>
        <v>-0.37593984962406019</v>
      </c>
      <c r="X43" s="2">
        <f t="shared" si="52"/>
        <v>0.53345070422535201</v>
      </c>
      <c r="Y43" s="2">
        <f t="shared" si="52"/>
        <v>0.30503978779840846</v>
      </c>
      <c r="Z43" s="2">
        <f t="shared" ref="Z43:AB43" si="53">IFERROR(Z12/-(Z13+Z14),"")</f>
        <v>9.4657919400187432E-2</v>
      </c>
      <c r="AA43" s="2">
        <f t="shared" si="53"/>
        <v>0.10046885465505694</v>
      </c>
      <c r="AB43" s="2">
        <f t="shared" si="53"/>
        <v>-0.53125000000000011</v>
      </c>
    </row>
    <row r="44" spans="1:28" x14ac:dyDescent="0.3">
      <c r="A44" s="85" t="s">
        <v>218</v>
      </c>
      <c r="B44" s="46" t="str">
        <f ca="1">IFERROR(IF(Inputs!$E$14 = "Quarterly", IF(YEAR(B2)=Inputs!$E$17, 'Interim Balance Sheet US$'!B69/AVERAGE('Annual Cash Flow US$'!$F$8,'Annual Cash Flow US$'!$G$8), 'Interim Balance Sheet US$'!B69/SUM(OFFSET('Interim Cash Flow Reported'!B7,0,-3,,4))), IF(B2=DATE(Inputs!$E$17,Inputs!$E$15,Inputs!$E$15), 'Interim Balance Sheet US$'!B69/AVERAGE('Annual Cash Flow US$'!$E$8,'Annual Cash Flow US$'!$F$8), 'Interim Balance Sheet US$'!B69/SUM(OFFSET('Interim Cash Flow Reported'!B7,0,-1,,2)))),"")</f>
        <v/>
      </c>
      <c r="C44" s="46" t="str">
        <f ca="1">IFERROR(IF(Inputs!$E$14 = "Quarterly", IF(YEAR(C2)=Inputs!$E$17, 'Interim Balance Sheet US$'!C69/AVERAGE('Annual Cash Flow US$'!$F$8,'Annual Cash Flow US$'!$G$8), 'Interim Balance Sheet US$'!C69/SUM(OFFSET('Interim Cash Flow Reported'!C7,0,-3,,4))), IF(C2=DATE(Inputs!$E$17,Inputs!$E$15,Inputs!$E$15), 'Interim Balance Sheet US$'!C69/AVERAGE('Annual Cash Flow US$'!$E$8,'Annual Cash Flow US$'!$F$8), 'Interim Balance Sheet US$'!C69/SUM(OFFSET('Interim Cash Flow Reported'!C7,0,-1,,2)))),"")</f>
        <v/>
      </c>
      <c r="D44" s="46" t="str">
        <f ca="1">IFERROR(IF(Inputs!$E$14 = "Quarterly", IF(YEAR(D2)=Inputs!$E$17, 'Interim Balance Sheet US$'!D69/AVERAGE('Annual Cash Flow US$'!$F$8,'Annual Cash Flow US$'!$G$8), 'Interim Balance Sheet US$'!D69/SUM(OFFSET('Interim Cash Flow Reported'!D7,0,-3,,4))), IF(D2=DATE(Inputs!$E$17,Inputs!$E$15,Inputs!$E$15), 'Interim Balance Sheet US$'!D69/AVERAGE('Annual Cash Flow US$'!$E$8,'Annual Cash Flow US$'!$F$8), 'Interim Balance Sheet US$'!D69/SUM(OFFSET('Interim Cash Flow Reported'!D7,0,-1,,2)))),"")</f>
        <v/>
      </c>
      <c r="E44" s="46" t="str">
        <f ca="1">IFERROR(IF(Inputs!$E$14 = "Quarterly", IF(YEAR(E2)=Inputs!$E$17, 'Interim Balance Sheet US$'!E69/AVERAGE('Annual Cash Flow US$'!$F$8,'Annual Cash Flow US$'!$G$8), 'Interim Balance Sheet US$'!E69/SUM(OFFSET('Interim Cash Flow Reported'!E7,0,-3,,4))), IF(E2=DATE(Inputs!$E$17,Inputs!$E$15,Inputs!$E$15), 'Interim Balance Sheet US$'!E69/AVERAGE('Annual Cash Flow US$'!$E$8,'Annual Cash Flow US$'!$F$8), 'Interim Balance Sheet US$'!E69/SUM(OFFSET('Interim Cash Flow Reported'!E7,0,-1,,2)))),"")</f>
        <v/>
      </c>
      <c r="F44" s="46" t="str">
        <f ca="1">IFERROR(IF(Inputs!$E$14 = "Quarterly", IF(YEAR(F2)=Inputs!$E$17, 'Interim Balance Sheet US$'!F69/AVERAGE('Annual Cash Flow US$'!$F$8,'Annual Cash Flow US$'!$G$8), 'Interim Balance Sheet US$'!F69/SUM(OFFSET('Interim Cash Flow Reported'!F7,0,-3,,4))), IF(F2=DATE(Inputs!$E$17,Inputs!$E$15,Inputs!$E$15), 'Interim Balance Sheet US$'!F69/AVERAGE('Annual Cash Flow US$'!$E$8,'Annual Cash Flow US$'!$F$8), 'Interim Balance Sheet US$'!F69/SUM(OFFSET('Interim Cash Flow Reported'!F7,0,-1,,2)))),"")</f>
        <v/>
      </c>
      <c r="G44" s="46" t="str">
        <f ca="1">IFERROR(IF(Inputs!$E$14 = "Quarterly", IF(YEAR(G2)=Inputs!$E$17, 'Interim Balance Sheet US$'!G69/AVERAGE('Annual Cash Flow US$'!$F$8,'Annual Cash Flow US$'!$G$8), 'Interim Balance Sheet US$'!G69/SUM(OFFSET('Interim Cash Flow Reported'!G7,0,-3,,4))), IF(G2=DATE(Inputs!$E$17,Inputs!$E$15,Inputs!$E$15), 'Interim Balance Sheet US$'!G69/AVERAGE('Annual Cash Flow US$'!$E$8,'Annual Cash Flow US$'!$F$8), 'Interim Balance Sheet US$'!G69/SUM(OFFSET('Interim Cash Flow Reported'!G7,0,-1,,2)))),"")</f>
        <v/>
      </c>
      <c r="H44" s="46" t="str">
        <f ca="1">IFERROR(IF(Inputs!$E$14 = "Quarterly", IF(YEAR(H2)=Inputs!$E$17, 'Interim Balance Sheet US$'!H69/AVERAGE('Annual Cash Flow US$'!$F$8,'Annual Cash Flow US$'!$G$8), 'Interim Balance Sheet US$'!H69/SUM(OFFSET('Interim Cash Flow Reported'!H7,0,-3,,4))), IF(H2=DATE(Inputs!$E$17,Inputs!$E$15,Inputs!$E$15), 'Interim Balance Sheet US$'!H69/AVERAGE('Annual Cash Flow US$'!$E$8,'Annual Cash Flow US$'!$F$8), 'Interim Balance Sheet US$'!H69/SUM(OFFSET('Interim Cash Flow Reported'!H7,0,-1,,2)))),"")</f>
        <v/>
      </c>
      <c r="I44" s="46" t="str">
        <f ca="1">IFERROR(IF(Inputs!$E$14 = "Quarterly", IF(YEAR(I2)=Inputs!$E$17, 'Interim Balance Sheet US$'!I69/AVERAGE('Annual Cash Flow US$'!$F$8,'Annual Cash Flow US$'!$G$8), 'Interim Balance Sheet US$'!I69/SUM(OFFSET('Interim Cash Flow Reported'!I7,0,-3,,4))), IF(I2=DATE(Inputs!$E$17,Inputs!$E$15,Inputs!$E$15), 'Interim Balance Sheet US$'!I69/AVERAGE('Annual Cash Flow US$'!$E$8,'Annual Cash Flow US$'!$F$8), 'Interim Balance Sheet US$'!I69/SUM(OFFSET('Interim Cash Flow Reported'!I7,0,-1,,2)))),"")</f>
        <v/>
      </c>
      <c r="J44" s="46" t="str">
        <f ca="1">IFERROR(IF(Inputs!$E$14 = "Quarterly", IF(YEAR(J2)=Inputs!$E$17, 'Interim Balance Sheet US$'!J69/AVERAGE('Annual Cash Flow US$'!$F$8,'Annual Cash Flow US$'!$G$8), 'Interim Balance Sheet US$'!J69/SUM(OFFSET('Interim Cash Flow Reported'!J7,0,-3,,4))), IF(J2=DATE(Inputs!$E$17,Inputs!$E$15,Inputs!$E$15), 'Interim Balance Sheet US$'!J69/AVERAGE('Annual Cash Flow US$'!$E$8,'Annual Cash Flow US$'!$F$8), 'Interim Balance Sheet US$'!J69/SUM(OFFSET('Interim Cash Flow Reported'!J7,0,-1,,2)))),"")</f>
        <v/>
      </c>
      <c r="K44" s="46" t="str">
        <f ca="1">IFERROR(IF(Inputs!$E$14 = "Quarterly", IF(YEAR(K2)=Inputs!$E$17, 'Interim Balance Sheet US$'!K69/AVERAGE('Annual Cash Flow US$'!$F$8,'Annual Cash Flow US$'!$G$8), 'Interim Balance Sheet US$'!K69/SUM(OFFSET('Interim Cash Flow Reported'!K7,0,-3,,4))), IF(K2=DATE(Inputs!$E$17,Inputs!$E$15,Inputs!$E$15), 'Interim Balance Sheet US$'!K69/AVERAGE('Annual Cash Flow US$'!$E$8,'Annual Cash Flow US$'!$F$8), 'Interim Balance Sheet US$'!K69/SUM(OFFSET('Interim Cash Flow Reported'!K7,0,-1,,2)))),"")</f>
        <v/>
      </c>
      <c r="L44" s="46" t="str">
        <f ca="1">IFERROR(IF(Inputs!$E$14 = "Quarterly", IF(YEAR(L2)=Inputs!$E$17, 'Interim Balance Sheet US$'!L69/AVERAGE('Annual Cash Flow US$'!$F$8,'Annual Cash Flow US$'!$G$8), 'Interim Balance Sheet US$'!L69/SUM(OFFSET('Interim Cash Flow Reported'!L7,0,-3,,4))), IF(L2=DATE(Inputs!$E$17,Inputs!$E$15,Inputs!$E$15), 'Interim Balance Sheet US$'!L69/AVERAGE('Annual Cash Flow US$'!$E$8,'Annual Cash Flow US$'!$F$8), 'Interim Balance Sheet US$'!L69/SUM(OFFSET('Interim Cash Flow Reported'!L7,0,-1,,2)))),"")</f>
        <v/>
      </c>
      <c r="M44" s="46" t="str">
        <f ca="1">IFERROR(IF(Inputs!$E$14 = "Quarterly", IF(YEAR(M2)=Inputs!$E$17, 'Interim Balance Sheet US$'!M69/AVERAGE('Annual Cash Flow US$'!$F$8,'Annual Cash Flow US$'!$G$8), 'Interim Balance Sheet US$'!M69/SUM(OFFSET('Interim Cash Flow Reported'!M7,0,-3,,4))), IF(M2=DATE(Inputs!$E$17,Inputs!$E$15,Inputs!$E$15), 'Interim Balance Sheet US$'!M69/AVERAGE('Annual Cash Flow US$'!$E$8,'Annual Cash Flow US$'!$F$8), 'Interim Balance Sheet US$'!M69/SUM(OFFSET('Interim Cash Flow Reported'!M7,0,-1,,2)))),"")</f>
        <v/>
      </c>
      <c r="N44" s="46" t="str">
        <f ca="1">IFERROR(IF(Inputs!$E$14 = "Quarterly", IF(YEAR(N2)=Inputs!$E$17, 'Interim Balance Sheet US$'!N69/AVERAGE('Annual Cash Flow US$'!$F$8,'Annual Cash Flow US$'!$G$8), 'Interim Balance Sheet US$'!N69/SUM(OFFSET('Interim Cash Flow Reported'!N7,0,-3,,4))), IF(N2=DATE(Inputs!$E$17,Inputs!$E$15,Inputs!$E$15), 'Interim Balance Sheet US$'!N69/AVERAGE('Annual Cash Flow US$'!$E$8,'Annual Cash Flow US$'!$F$8), 'Interim Balance Sheet US$'!N69/SUM(OFFSET('Interim Cash Flow Reported'!N7,0,-1,,2)))),"")</f>
        <v/>
      </c>
      <c r="O44" s="46" t="str">
        <f ca="1">IFERROR(IF(Inputs!$E$14 = "Quarterly", IF(YEAR(O2)=Inputs!$E$17, 'Interim Balance Sheet US$'!O69/AVERAGE('Annual Cash Flow US$'!$F$8,'Annual Cash Flow US$'!$G$8), 'Interim Balance Sheet US$'!O69/SUM(OFFSET('Interim Cash Flow Reported'!O7,0,-3,,4))), IF(O2=DATE(Inputs!$E$17,Inputs!$E$15,Inputs!$E$15), 'Interim Balance Sheet US$'!O69/AVERAGE('Annual Cash Flow US$'!$E$8,'Annual Cash Flow US$'!$F$8), 'Interim Balance Sheet US$'!O69/SUM(OFFSET('Interim Cash Flow Reported'!O7,0,-1,,2)))),"")</f>
        <v/>
      </c>
      <c r="P44" s="46" t="str">
        <f ca="1">IFERROR(IF(Inputs!$E$14 = "Quarterly", IF(YEAR(P2)=Inputs!$E$17, 'Interim Balance Sheet US$'!P69/AVERAGE('Annual Cash Flow US$'!$F$8,'Annual Cash Flow US$'!$G$8), 'Interim Balance Sheet US$'!P69/SUM(OFFSET('Interim Cash Flow Reported'!P7,0,-3,,4))), IF(P2=DATE(Inputs!$E$17,Inputs!$E$15,Inputs!$E$15), 'Interim Balance Sheet US$'!P69/AVERAGE('Annual Cash Flow US$'!$E$8,'Annual Cash Flow US$'!$F$8), 'Interim Balance Sheet US$'!P69/SUM(OFFSET('Interim Cash Flow Reported'!P7,0,-1,,2)))),"")</f>
        <v/>
      </c>
      <c r="Q44" s="46" t="str">
        <f ca="1">IFERROR(IF(Inputs!$E$14 = "Quarterly", IF(YEAR(Q2)=Inputs!$E$17, 'Interim Balance Sheet US$'!Q69/AVERAGE('Annual Cash Flow US$'!$F$8,'Annual Cash Flow US$'!$G$8), 'Interim Balance Sheet US$'!Q69/SUM(OFFSET('Interim Cash Flow Reported'!Q7,0,-3,,4))), IF(Q2=DATE(Inputs!$E$17,Inputs!$E$15,Inputs!$E$15), 'Interim Balance Sheet US$'!Q69/AVERAGE('Annual Cash Flow US$'!$E$8,'Annual Cash Flow US$'!$F$8), 'Interim Balance Sheet US$'!Q69/SUM(OFFSET('Interim Cash Flow Reported'!Q7,0,-1,,2)))),"")</f>
        <v/>
      </c>
      <c r="R44" s="46" t="str">
        <f ca="1">IFERROR(IF(Inputs!$E$14 = "Quarterly", IF(YEAR(R2)=Inputs!$E$17, 'Interim Balance Sheet US$'!R69/AVERAGE('Annual Cash Flow US$'!$F$8,'Annual Cash Flow US$'!$G$8), 'Interim Balance Sheet US$'!R69/SUM(OFFSET('Interim Cash Flow Reported'!R7,0,-3,,4))), IF(R2=DATE(Inputs!$E$17,Inputs!$E$15,Inputs!$E$15), 'Interim Balance Sheet US$'!R69/AVERAGE('Annual Cash Flow US$'!$E$8,'Annual Cash Flow US$'!$F$8), 'Interim Balance Sheet US$'!R69/SUM(OFFSET('Interim Cash Flow Reported'!R7,0,-1,,2)))),"")</f>
        <v/>
      </c>
      <c r="S44" s="46" t="str">
        <f ca="1">IFERROR(IF(Inputs!$E$14 = "Quarterly", IF(YEAR(S2)=Inputs!$E$17, 'Interim Balance Sheet US$'!S69/AVERAGE('Annual Cash Flow US$'!$F$8,'Annual Cash Flow US$'!$G$8), 'Interim Balance Sheet US$'!S69/SUM(OFFSET('Interim Cash Flow Reported'!S7,0,-3,,4))), IF(S2=DATE(Inputs!$E$17,Inputs!$E$15,Inputs!$E$15), 'Interim Balance Sheet US$'!S69/AVERAGE('Annual Cash Flow US$'!$E$8,'Annual Cash Flow US$'!$F$8), 'Interim Balance Sheet US$'!S69/SUM(OFFSET('Interim Cash Flow Reported'!S7,0,-1,,2)))),"")</f>
        <v/>
      </c>
      <c r="T44" s="46" t="str">
        <f ca="1">IFERROR(IF(Inputs!$E$14 = "Quarterly", IF(YEAR(T2)=Inputs!$E$17, 'Interim Balance Sheet US$'!T69/AVERAGE('Annual Cash Flow US$'!$F$8,'Annual Cash Flow US$'!$G$8), 'Interim Balance Sheet US$'!T69/SUM(OFFSET('Interim Cash Flow Reported'!T7,0,-3,,4))), IF(T2=DATE(Inputs!$E$17,Inputs!$E$15,Inputs!$E$15), 'Interim Balance Sheet US$'!T69/AVERAGE('Annual Cash Flow US$'!$E$8,'Annual Cash Flow US$'!$F$8), 'Interim Balance Sheet US$'!T69/SUM(OFFSET('Interim Cash Flow Reported'!T7,0,-1,,2)))),"")</f>
        <v/>
      </c>
      <c r="U44" s="46" t="str">
        <f ca="1">IFERROR(IF(Inputs!$E$14 = "Quarterly", IF(YEAR(U2)=Inputs!$E$17, 'Interim Balance Sheet US$'!U69/AVERAGE('Annual Cash Flow US$'!$F$8,'Annual Cash Flow US$'!$G$8), 'Interim Balance Sheet US$'!U69/SUM(OFFSET('Interim Cash Flow Reported'!U7,0,-3,,4))), IF(U2=DATE(Inputs!$E$17,Inputs!$E$15,Inputs!$E$15), 'Interim Balance Sheet US$'!U69/AVERAGE('Annual Cash Flow US$'!$E$8,'Annual Cash Flow US$'!$F$8), 'Interim Balance Sheet US$'!U69/SUM(OFFSET('Interim Cash Flow Reported'!U7,0,-1,,2)))),"")</f>
        <v/>
      </c>
      <c r="V44" s="46" t="str">
        <f ca="1">IFERROR(IF(Inputs!$E$14 = "Quarterly", IF(YEAR(V2)=Inputs!$E$17, 'Interim Balance Sheet US$'!V69/AVERAGE('Annual Cash Flow US$'!$F$8,'Annual Cash Flow US$'!$G$8), 'Interim Balance Sheet US$'!V69/SUM(OFFSET('Interim Cash Flow Reported'!V7,0,-3,,4))), IF(V2=DATE(Inputs!$E$17,Inputs!$E$15,Inputs!$E$15), 'Interim Balance Sheet US$'!V69/AVERAGE('Annual Cash Flow US$'!$E$8,'Annual Cash Flow US$'!$F$8), 'Interim Balance Sheet US$'!V69/SUM(OFFSET('Interim Cash Flow Reported'!V7,0,-1,,2)))),"")</f>
        <v/>
      </c>
      <c r="W44" s="46" t="str">
        <f ca="1">IFERROR(IF(Inputs!$E$14 = "Quarterly", IF(YEAR(W2)=Inputs!$E$17, 'Interim Balance Sheet US$'!W69/AVERAGE('Annual Cash Flow US$'!$F$8,'Annual Cash Flow US$'!$G$8), 'Interim Balance Sheet US$'!W69/SUM(OFFSET('Interim Cash Flow Reported'!W7,0,-3,,4))), IF(W2=DATE(Inputs!$E$17,Inputs!$E$15,Inputs!$E$15), 'Interim Balance Sheet US$'!W69/AVERAGE('Annual Cash Flow US$'!$E$8,'Annual Cash Flow US$'!$F$8), 'Interim Balance Sheet US$'!W69/SUM(OFFSET('Interim Cash Flow Reported'!W7,0,-1,,2)))),"")</f>
        <v/>
      </c>
      <c r="X44" s="46" t="str">
        <f ca="1">IFERROR(IF(Inputs!$E$14 = "Quarterly", IF(YEAR(X2)=Inputs!$E$17, 'Interim Balance Sheet US$'!X69/AVERAGE('Annual Cash Flow US$'!$F$8,'Annual Cash Flow US$'!$G$8), 'Interim Balance Sheet US$'!X69/SUM(OFFSET('Interim Cash Flow Reported'!X7,0,-3,,4))), IF(X2=DATE(Inputs!$E$17,Inputs!$E$15,Inputs!$E$15), 'Interim Balance Sheet US$'!X69/AVERAGE('Annual Cash Flow US$'!$E$8,'Annual Cash Flow US$'!$F$8), 'Interim Balance Sheet US$'!X69/SUM(OFFSET('Interim Cash Flow Reported'!X7,0,-1,,2)))),"")</f>
        <v/>
      </c>
      <c r="Y44" s="46" t="str">
        <f ca="1">IFERROR(IF(Inputs!$E$14 = "Quarterly", IF(YEAR(Y2)=Inputs!$E$17, 'Interim Balance Sheet US$'!Y69/AVERAGE('Annual Cash Flow US$'!$F$8,'Annual Cash Flow US$'!$G$8), 'Interim Balance Sheet US$'!Y69/SUM(OFFSET('Interim Cash Flow Reported'!Y7,0,-3,,4))), IF(Y2=DATE(Inputs!$E$17,Inputs!$E$15,Inputs!$E$15), 'Interim Balance Sheet US$'!Y69/AVERAGE('Annual Cash Flow US$'!$E$8,'Annual Cash Flow US$'!$F$8), 'Interim Balance Sheet US$'!Y69/SUM(OFFSET('Interim Cash Flow Reported'!Y7,0,-1,,2)))),"")</f>
        <v/>
      </c>
      <c r="Z44" s="46" t="str">
        <f ca="1">IFERROR(IF(Inputs!$E$14 = "Quarterly", IF(YEAR(Z2)=Inputs!$E$17, 'Interim Balance Sheet US$'!Z69/AVERAGE('Annual Cash Flow US$'!$F$8,'Annual Cash Flow US$'!$G$8), 'Interim Balance Sheet US$'!Z69/SUM(OFFSET('Interim Cash Flow Reported'!Z7,0,-3,,4))), IF(Z2=DATE(Inputs!$E$17,Inputs!$E$15,Inputs!$E$15), 'Interim Balance Sheet US$'!Z69/AVERAGE('Annual Cash Flow US$'!$E$8,'Annual Cash Flow US$'!$F$8), 'Interim Balance Sheet US$'!Z69/SUM(OFFSET('Interim Cash Flow Reported'!Z7,0,-1,,2)))),"")</f>
        <v/>
      </c>
      <c r="AA44" s="46" t="str">
        <f ca="1">IFERROR(IF(Inputs!$E$14 = "Quarterly", IF(YEAR(AA2)=Inputs!$E$17, 'Interim Balance Sheet US$'!AA69/AVERAGE('Annual Cash Flow US$'!$F$8,'Annual Cash Flow US$'!$G$8), 'Interim Balance Sheet US$'!AA69/SUM(OFFSET('Interim Cash Flow Reported'!AA7,0,-3,,4))), IF(AA2=DATE(Inputs!$E$17,Inputs!$E$15,Inputs!$E$15), 'Interim Balance Sheet US$'!AA69/AVERAGE('Annual Cash Flow US$'!$E$8,'Annual Cash Flow US$'!$F$8), 'Interim Balance Sheet US$'!AA69/SUM(OFFSET('Interim Cash Flow Reported'!AA7,0,-1,,2)))),"")</f>
        <v/>
      </c>
      <c r="AB44" s="46" t="str">
        <f ca="1">IFERROR(IF(Inputs!$E$14 = "Quarterly", IF(YEAR(AB2)=Inputs!$E$17, 'Interim Balance Sheet US$'!AB69/AVERAGE('Annual Cash Flow US$'!$F$8,'Annual Cash Flow US$'!$G$8), 'Interim Balance Sheet US$'!AB69/SUM(OFFSET('Interim Cash Flow Reported'!AB7,0,-3,,4))), IF(AB2=DATE(Inputs!$E$17,Inputs!$E$15,Inputs!$E$15), 'Interim Balance Sheet US$'!AB69/AVERAGE('Annual Cash Flow US$'!$E$8,'Annual Cash Flow US$'!$F$8), 'Interim Balance Sheet US$'!AB69/SUM(OFFSET('Interim Cash Flow Reported'!AB7,0,-1,,2)))),"")</f>
        <v/>
      </c>
    </row>
    <row r="45" spans="1:28" x14ac:dyDescent="0.3">
      <c r="A45" s="85" t="s">
        <v>219</v>
      </c>
      <c r="B45" s="46" t="str">
        <f>IFERROR(B7/-'Interim Inc Statement Reported'!B89,"")</f>
        <v/>
      </c>
      <c r="C45" s="46" t="str">
        <f>IFERROR(C7/-'Interim Inc Statement Reported'!C89,"")</f>
        <v/>
      </c>
      <c r="D45" s="46" t="str">
        <f>IFERROR(D7/-'Interim Inc Statement Reported'!D89,"")</f>
        <v/>
      </c>
      <c r="E45" s="46" t="str">
        <f>IFERROR(E7/-'Interim Inc Statement Reported'!E89,"")</f>
        <v/>
      </c>
      <c r="F45" s="46" t="str">
        <f>IFERROR(F7/-'Interim Inc Statement Reported'!F89,"")</f>
        <v/>
      </c>
      <c r="G45" s="46" t="str">
        <f>IFERROR(G7/-'Interim Inc Statement Reported'!G89,"")</f>
        <v/>
      </c>
      <c r="H45" s="46" t="str">
        <f>IFERROR(H7/-'Interim Inc Statement Reported'!H89,"")</f>
        <v/>
      </c>
      <c r="I45" s="46" t="str">
        <f>IFERROR(I7/-'Interim Inc Statement Reported'!I89,"")</f>
        <v/>
      </c>
      <c r="J45" s="46" t="str">
        <f>IFERROR(J7/-'Interim Inc Statement Reported'!J89,"")</f>
        <v/>
      </c>
      <c r="K45" s="46" t="str">
        <f>IFERROR(K7/-'Interim Inc Statement Reported'!K89,"")</f>
        <v/>
      </c>
      <c r="L45" s="46" t="str">
        <f>IFERROR(L7/-'Interim Inc Statement Reported'!L89,"")</f>
        <v/>
      </c>
      <c r="M45" s="46" t="str">
        <f>IFERROR(M7/-'Interim Inc Statement Reported'!M89,"")</f>
        <v/>
      </c>
      <c r="N45" s="46" t="str">
        <f>IFERROR(N7/-'Interim Inc Statement Reported'!N89,"")</f>
        <v/>
      </c>
      <c r="O45" s="46" t="str">
        <f>IFERROR(O7/-'Interim Inc Statement Reported'!O89,"")</f>
        <v/>
      </c>
      <c r="P45" s="46" t="str">
        <f>IFERROR(P7/-'Interim Inc Statement Reported'!P89,"")</f>
        <v/>
      </c>
      <c r="Q45" s="46" t="str">
        <f>IFERROR(Q7/-'Interim Inc Statement Reported'!Q89,"")</f>
        <v/>
      </c>
      <c r="R45" s="46" t="str">
        <f>IFERROR(R7/-'Interim Inc Statement Reported'!R89,"")</f>
        <v/>
      </c>
      <c r="S45" s="46" t="str">
        <f>IFERROR(S7/-'Interim Inc Statement Reported'!S89,"")</f>
        <v/>
      </c>
      <c r="T45" s="46" t="str">
        <f>IFERROR(T7/-'Interim Inc Statement Reported'!T89,"")</f>
        <v/>
      </c>
      <c r="U45" s="46" t="str">
        <f>IFERROR(U7/-'Interim Inc Statement Reported'!U89,"")</f>
        <v/>
      </c>
      <c r="V45" s="46" t="str">
        <f>IFERROR(V7/-'Interim Inc Statement Reported'!V89,"")</f>
        <v/>
      </c>
      <c r="W45" s="46" t="str">
        <f>IFERROR(W7/-'Interim Inc Statement Reported'!W89,"")</f>
        <v/>
      </c>
      <c r="X45" s="46" t="str">
        <f>IFERROR(X7/-'Interim Inc Statement Reported'!X89,"")</f>
        <v/>
      </c>
      <c r="Y45" s="46" t="str">
        <f>IFERROR(Y7/-'Interim Inc Statement Reported'!Y89,"")</f>
        <v/>
      </c>
      <c r="Z45" s="46" t="str">
        <f>IFERROR(Z7/-'Interim Inc Statement Reported'!Z89,"")</f>
        <v/>
      </c>
      <c r="AA45" s="46" t="str">
        <f>IFERROR(AA7/-'Interim Inc Statement Reported'!AA89,"")</f>
        <v/>
      </c>
      <c r="AB45" s="46" t="str">
        <f>IFERROR(AB7/-'Interim Inc Statement Reported'!AB89,"")</f>
        <v/>
      </c>
    </row>
    <row r="46" spans="1:28" x14ac:dyDescent="0.3">
      <c r="A46" s="85" t="s">
        <v>220</v>
      </c>
      <c r="B46" s="2" t="str">
        <f ca="1">IFERROR(IF(Inputs!$E$14 = "Quarterly", IF(YEAR(B2)=Inputs!$E$17, AVERAGE('Annual Cash Flow US$'!$F$8,'Annual Cash Flow US$'!$G$8)/'Interim Balance Sheet US$'!B74, SUM(OFFSET('Interim Cash Flow Reported'!B7,0,-3,,4))/'Interim Balance Sheet US$'!B74), IF(B2=DATE(Inputs!$E$17,Inputs!$E$15,Inputs!$E$16), AVERAGE('Annual Cash Flow US$'!$E$8,'Annual Cash Flow US$'!$F$8)/'Interim Balance Sheet US$'!B74, SUM(OFFSET('Interim Cash Flow Reported'!B7,0,-1,,2))/'Interim Balance Sheet US$'!B74)),"")</f>
        <v/>
      </c>
      <c r="C46" s="2" t="str">
        <f ca="1">IFERROR(IF(Inputs!$E$14 = "Quarterly", IF(YEAR(C2)=Inputs!$E$17, AVERAGE('Annual Cash Flow US$'!$F$8,'Annual Cash Flow US$'!$G$8)/'Interim Balance Sheet US$'!C74, SUM(OFFSET('Interim Cash Flow Reported'!C7,0,-3,,4))/'Interim Balance Sheet US$'!C74), IF(C2=DATE(Inputs!$E$17,Inputs!$E$15,Inputs!$E$16), AVERAGE('Annual Cash Flow US$'!$E$8,'Annual Cash Flow US$'!$F$8)/'Interim Balance Sheet US$'!C74, SUM(OFFSET('Interim Cash Flow Reported'!C7,0,-1,,2))/'Interim Balance Sheet US$'!C74)),"")</f>
        <v/>
      </c>
      <c r="D46" s="2" t="str">
        <f ca="1">IFERROR(IF(Inputs!$E$14 = "Quarterly", IF(YEAR(D2)=Inputs!$E$17, AVERAGE('Annual Cash Flow US$'!$F$8,'Annual Cash Flow US$'!$G$8)/'Interim Balance Sheet US$'!D74, SUM(OFFSET('Interim Cash Flow Reported'!D7,0,-3,,4))/'Interim Balance Sheet US$'!D74), IF(D2=DATE(Inputs!$E$17,Inputs!$E$15,Inputs!$E$16), AVERAGE('Annual Cash Flow US$'!$E$8,'Annual Cash Flow US$'!$F$8)/'Interim Balance Sheet US$'!D74, SUM(OFFSET('Interim Cash Flow Reported'!D7,0,-1,,2))/'Interim Balance Sheet US$'!D74)),"")</f>
        <v/>
      </c>
      <c r="E46" s="2" t="str">
        <f ca="1">IFERROR(IF(Inputs!$E$14 = "Quarterly", IF(YEAR(E2)=Inputs!$E$17, AVERAGE('Annual Cash Flow US$'!$F$8,'Annual Cash Flow US$'!$G$8)/'Interim Balance Sheet US$'!E74, SUM(OFFSET('Interim Cash Flow Reported'!E7,0,-3,,4))/'Interim Balance Sheet US$'!E74), IF(E2=DATE(Inputs!$E$17,Inputs!$E$15,Inputs!$E$16), AVERAGE('Annual Cash Flow US$'!$E$8,'Annual Cash Flow US$'!$F$8)/'Interim Balance Sheet US$'!E74, SUM(OFFSET('Interim Cash Flow Reported'!E7,0,-1,,2))/'Interim Balance Sheet US$'!E74)),"")</f>
        <v/>
      </c>
      <c r="F46" s="2" t="str">
        <f ca="1">IFERROR(IF(Inputs!$E$14 = "Quarterly", IF(YEAR(F2)=Inputs!$E$17, AVERAGE('Annual Cash Flow US$'!$F$8,'Annual Cash Flow US$'!$G$8)/'Interim Balance Sheet US$'!F74, SUM(OFFSET('Interim Cash Flow Reported'!F7,0,-3,,4))/'Interim Balance Sheet US$'!F74), IF(F2=DATE(Inputs!$E$17,Inputs!$E$15,Inputs!$E$16), AVERAGE('Annual Cash Flow US$'!$E$8,'Annual Cash Flow US$'!$F$8)/'Interim Balance Sheet US$'!F74, SUM(OFFSET('Interim Cash Flow Reported'!F7,0,-1,,2))/'Interim Balance Sheet US$'!F74)),"")</f>
        <v/>
      </c>
      <c r="G46" s="2" t="str">
        <f ca="1">IFERROR(IF(Inputs!$E$14 = "Quarterly", IF(YEAR(G2)=Inputs!$E$17, AVERAGE('Annual Cash Flow US$'!$F$8,'Annual Cash Flow US$'!$G$8)/'Interim Balance Sheet US$'!G74, SUM(OFFSET('Interim Cash Flow Reported'!G7,0,-3,,4))/'Interim Balance Sheet US$'!G74), IF(G2=DATE(Inputs!$E$17,Inputs!$E$15,Inputs!$E$16), AVERAGE('Annual Cash Flow US$'!$E$8,'Annual Cash Flow US$'!$F$8)/'Interim Balance Sheet US$'!G74, SUM(OFFSET('Interim Cash Flow Reported'!G7,0,-1,,2))/'Interim Balance Sheet US$'!G74)),"")</f>
        <v/>
      </c>
      <c r="H46" s="2" t="str">
        <f ca="1">IFERROR(IF(Inputs!$E$14 = "Quarterly", IF(YEAR(H2)=Inputs!$E$17, AVERAGE('Annual Cash Flow US$'!$F$8,'Annual Cash Flow US$'!$G$8)/'Interim Balance Sheet US$'!H74, SUM(OFFSET('Interim Cash Flow Reported'!H7,0,-3,,4))/'Interim Balance Sheet US$'!H74), IF(H2=DATE(Inputs!$E$17,Inputs!$E$15,Inputs!$E$16), AVERAGE('Annual Cash Flow US$'!$E$8,'Annual Cash Flow US$'!$F$8)/'Interim Balance Sheet US$'!H74, SUM(OFFSET('Interim Cash Flow Reported'!H7,0,-1,,2))/'Interim Balance Sheet US$'!H74)),"")</f>
        <v/>
      </c>
      <c r="I46" s="2" t="str">
        <f ca="1">IFERROR(IF(Inputs!$E$14 = "Quarterly", IF(YEAR(I2)=Inputs!$E$17, AVERAGE('Annual Cash Flow US$'!$F$8,'Annual Cash Flow US$'!$G$8)/'Interim Balance Sheet US$'!I74, SUM(OFFSET('Interim Cash Flow Reported'!I7,0,-3,,4))/'Interim Balance Sheet US$'!I74), IF(I2=DATE(Inputs!$E$17,Inputs!$E$15,Inputs!$E$16), AVERAGE('Annual Cash Flow US$'!$E$8,'Annual Cash Flow US$'!$F$8)/'Interim Balance Sheet US$'!I74, SUM(OFFSET('Interim Cash Flow Reported'!I7,0,-1,,2))/'Interim Balance Sheet US$'!I74)),"")</f>
        <v/>
      </c>
      <c r="J46" s="2" t="str">
        <f ca="1">IFERROR(IF(Inputs!$E$14 = "Quarterly", IF(YEAR(J2)=Inputs!$E$17, AVERAGE('Annual Cash Flow US$'!$F$8,'Annual Cash Flow US$'!$G$8)/'Interim Balance Sheet US$'!J74, SUM(OFFSET('Interim Cash Flow Reported'!J7,0,-3,,4))/'Interim Balance Sheet US$'!J74), IF(J2=DATE(Inputs!$E$17,Inputs!$E$15,Inputs!$E$16), AVERAGE('Annual Cash Flow US$'!$E$8,'Annual Cash Flow US$'!$F$8)/'Interim Balance Sheet US$'!J74, SUM(OFFSET('Interim Cash Flow Reported'!J7,0,-1,,2))/'Interim Balance Sheet US$'!J74)),"")</f>
        <v/>
      </c>
      <c r="K46" s="2" t="str">
        <f ca="1">IFERROR(IF(Inputs!$E$14 = "Quarterly", IF(YEAR(K2)=Inputs!$E$17, AVERAGE('Annual Cash Flow US$'!$F$8,'Annual Cash Flow US$'!$G$8)/'Interim Balance Sheet US$'!K74, SUM(OFFSET('Interim Cash Flow Reported'!K7,0,-3,,4))/'Interim Balance Sheet US$'!K74), IF(K2=DATE(Inputs!$E$17,Inputs!$E$15,Inputs!$E$16), AVERAGE('Annual Cash Flow US$'!$E$8,'Annual Cash Flow US$'!$F$8)/'Interim Balance Sheet US$'!K74, SUM(OFFSET('Interim Cash Flow Reported'!K7,0,-1,,2))/'Interim Balance Sheet US$'!K74)),"")</f>
        <v/>
      </c>
      <c r="L46" s="2" t="str">
        <f ca="1">IFERROR(IF(Inputs!$E$14 = "Quarterly", IF(YEAR(L2)=Inputs!$E$17, AVERAGE('Annual Cash Flow US$'!$F$8,'Annual Cash Flow US$'!$G$8)/'Interim Balance Sheet US$'!L74, SUM(OFFSET('Interim Cash Flow Reported'!L7,0,-3,,4))/'Interim Balance Sheet US$'!L74), IF(L2=DATE(Inputs!$E$17,Inputs!$E$15,Inputs!$E$16), AVERAGE('Annual Cash Flow US$'!$E$8,'Annual Cash Flow US$'!$F$8)/'Interim Balance Sheet US$'!L74, SUM(OFFSET('Interim Cash Flow Reported'!L7,0,-1,,2))/'Interim Balance Sheet US$'!L74)),"")</f>
        <v/>
      </c>
      <c r="M46" s="2" t="str">
        <f ca="1">IFERROR(IF(Inputs!$E$14 = "Quarterly", IF(YEAR(M2)=Inputs!$E$17, AVERAGE('Annual Cash Flow US$'!$F$8,'Annual Cash Flow US$'!$G$8)/'Interim Balance Sheet US$'!M74, SUM(OFFSET('Interim Cash Flow Reported'!M7,0,-3,,4))/'Interim Balance Sheet US$'!M74), IF(M2=DATE(Inputs!$E$17,Inputs!$E$15,Inputs!$E$16), AVERAGE('Annual Cash Flow US$'!$E$8,'Annual Cash Flow US$'!$F$8)/'Interim Balance Sheet US$'!M74, SUM(OFFSET('Interim Cash Flow Reported'!M7,0,-1,,2))/'Interim Balance Sheet US$'!M74)),"")</f>
        <v/>
      </c>
      <c r="N46" s="2" t="str">
        <f ca="1">IFERROR(IF(Inputs!$E$14 = "Quarterly", IF(YEAR(N2)=Inputs!$E$17, AVERAGE('Annual Cash Flow US$'!$F$8,'Annual Cash Flow US$'!$G$8)/'Interim Balance Sheet US$'!N74, SUM(OFFSET('Interim Cash Flow Reported'!N7,0,-3,,4))/'Interim Balance Sheet US$'!N74), IF(N2=DATE(Inputs!$E$17,Inputs!$E$15,Inputs!$E$16), AVERAGE('Annual Cash Flow US$'!$E$8,'Annual Cash Flow US$'!$F$8)/'Interim Balance Sheet US$'!N74, SUM(OFFSET('Interim Cash Flow Reported'!N7,0,-1,,2))/'Interim Balance Sheet US$'!N74)),"")</f>
        <v/>
      </c>
      <c r="O46" s="2" t="str">
        <f ca="1">IFERROR(IF(Inputs!$E$14 = "Quarterly", IF(YEAR(O2)=Inputs!$E$17, AVERAGE('Annual Cash Flow US$'!$F$8,'Annual Cash Flow US$'!$G$8)/'Interim Balance Sheet US$'!O74, SUM(OFFSET('Interim Cash Flow Reported'!O7,0,-3,,4))/'Interim Balance Sheet US$'!O74), IF(O2=DATE(Inputs!$E$17,Inputs!$E$15,Inputs!$E$16), AVERAGE('Annual Cash Flow US$'!$E$8,'Annual Cash Flow US$'!$F$8)/'Interim Balance Sheet US$'!O74, SUM(OFFSET('Interim Cash Flow Reported'!O7,0,-1,,2))/'Interim Balance Sheet US$'!O74)),"")</f>
        <v/>
      </c>
      <c r="P46" s="2" t="str">
        <f ca="1">IFERROR(IF(Inputs!$E$14 = "Quarterly", IF(YEAR(P2)=Inputs!$E$17, AVERAGE('Annual Cash Flow US$'!$F$8,'Annual Cash Flow US$'!$G$8)/'Interim Balance Sheet US$'!P74, SUM(OFFSET('Interim Cash Flow Reported'!P7,0,-3,,4))/'Interim Balance Sheet US$'!P74), IF(P2=DATE(Inputs!$E$17,Inputs!$E$15,Inputs!$E$16), AVERAGE('Annual Cash Flow US$'!$E$8,'Annual Cash Flow US$'!$F$8)/'Interim Balance Sheet US$'!P74, SUM(OFFSET('Interim Cash Flow Reported'!P7,0,-1,,2))/'Interim Balance Sheet US$'!P74)),"")</f>
        <v/>
      </c>
      <c r="Q46" s="2" t="str">
        <f ca="1">IFERROR(IF(Inputs!$E$14 = "Quarterly", IF(YEAR(Q2)=Inputs!$E$17, AVERAGE('Annual Cash Flow US$'!$F$8,'Annual Cash Flow US$'!$G$8)/'Interim Balance Sheet US$'!Q74, SUM(OFFSET('Interim Cash Flow Reported'!Q7,0,-3,,4))/'Interim Balance Sheet US$'!Q74), IF(Q2=DATE(Inputs!$E$17,Inputs!$E$15,Inputs!$E$16), AVERAGE('Annual Cash Flow US$'!$E$8,'Annual Cash Flow US$'!$F$8)/'Interim Balance Sheet US$'!Q74, SUM(OFFSET('Interim Cash Flow Reported'!Q7,0,-1,,2))/'Interim Balance Sheet US$'!Q74)),"")</f>
        <v/>
      </c>
      <c r="R46" s="2" t="str">
        <f ca="1">IFERROR(IF(Inputs!$E$14 = "Quarterly", IF(YEAR(R2)=Inputs!$E$17, AVERAGE('Annual Cash Flow US$'!$F$8,'Annual Cash Flow US$'!$G$8)/'Interim Balance Sheet US$'!R74, SUM(OFFSET('Interim Cash Flow Reported'!R7,0,-3,,4))/'Interim Balance Sheet US$'!R74), IF(R2=DATE(Inputs!$E$17,Inputs!$E$15,Inputs!$E$16), AVERAGE('Annual Cash Flow US$'!$E$8,'Annual Cash Flow US$'!$F$8)/'Interim Balance Sheet US$'!R74, SUM(OFFSET('Interim Cash Flow Reported'!R7,0,-1,,2))/'Interim Balance Sheet US$'!R74)),"")</f>
        <v/>
      </c>
      <c r="S46" s="2" t="str">
        <f ca="1">IFERROR(IF(Inputs!$E$14 = "Quarterly", IF(YEAR(S2)=Inputs!$E$17, AVERAGE('Annual Cash Flow US$'!$F$8,'Annual Cash Flow US$'!$G$8)/'Interim Balance Sheet US$'!S74, SUM(OFFSET('Interim Cash Flow Reported'!S7,0,-3,,4))/'Interim Balance Sheet US$'!S74), IF(S2=DATE(Inputs!$E$17,Inputs!$E$15,Inputs!$E$16), AVERAGE('Annual Cash Flow US$'!$E$8,'Annual Cash Flow US$'!$F$8)/'Interim Balance Sheet US$'!S74, SUM(OFFSET('Interim Cash Flow Reported'!S7,0,-1,,2))/'Interim Balance Sheet US$'!S74)),"")</f>
        <v/>
      </c>
      <c r="T46" s="2" t="str">
        <f ca="1">IFERROR(IF(Inputs!$E$14 = "Quarterly", IF(YEAR(T2)=Inputs!$E$17, AVERAGE('Annual Cash Flow US$'!$F$8,'Annual Cash Flow US$'!$G$8)/'Interim Balance Sheet US$'!T74, SUM(OFFSET('Interim Cash Flow Reported'!T7,0,-3,,4))/'Interim Balance Sheet US$'!T74), IF(T2=DATE(Inputs!$E$17,Inputs!$E$15,Inputs!$E$16), AVERAGE('Annual Cash Flow US$'!$E$8,'Annual Cash Flow US$'!$F$8)/'Interim Balance Sheet US$'!T74, SUM(OFFSET('Interim Cash Flow Reported'!T7,0,-1,,2))/'Interim Balance Sheet US$'!T74)),"")</f>
        <v/>
      </c>
      <c r="U46" s="2" t="str">
        <f ca="1">IFERROR(IF(Inputs!$E$14 = "Quarterly", IF(YEAR(U2)=Inputs!$E$17, AVERAGE('Annual Cash Flow US$'!$F$8,'Annual Cash Flow US$'!$G$8)/'Interim Balance Sheet US$'!U74, SUM(OFFSET('Interim Cash Flow Reported'!U7,0,-3,,4))/'Interim Balance Sheet US$'!U74), IF(U2=DATE(Inputs!$E$17,Inputs!$E$15,Inputs!$E$16), AVERAGE('Annual Cash Flow US$'!$E$8,'Annual Cash Flow US$'!$F$8)/'Interim Balance Sheet US$'!U74, SUM(OFFSET('Interim Cash Flow Reported'!U7,0,-1,,2))/'Interim Balance Sheet US$'!U74)),"")</f>
        <v/>
      </c>
      <c r="V46" s="2" t="str">
        <f ca="1">IFERROR(IF(Inputs!$E$14 = "Quarterly", IF(YEAR(V2)=Inputs!$E$17, AVERAGE('Annual Cash Flow US$'!$F$8,'Annual Cash Flow US$'!$G$8)/'Interim Balance Sheet US$'!V74, SUM(OFFSET('Interim Cash Flow Reported'!V7,0,-3,,4))/'Interim Balance Sheet US$'!V74), IF(V2=DATE(Inputs!$E$17,Inputs!$E$15,Inputs!$E$16), AVERAGE('Annual Cash Flow US$'!$E$8,'Annual Cash Flow US$'!$F$8)/'Interim Balance Sheet US$'!V74, SUM(OFFSET('Interim Cash Flow Reported'!V7,0,-1,,2))/'Interim Balance Sheet US$'!V74)),"")</f>
        <v/>
      </c>
      <c r="W46" s="2" t="str">
        <f ca="1">IFERROR(IF(Inputs!$E$14 = "Quarterly", IF(YEAR(W2)=Inputs!$E$17, AVERAGE('Annual Cash Flow US$'!$F$8,'Annual Cash Flow US$'!$G$8)/'Interim Balance Sheet US$'!W74, SUM(OFFSET('Interim Cash Flow Reported'!W7,0,-3,,4))/'Interim Balance Sheet US$'!W74), IF(W2=DATE(Inputs!$E$17,Inputs!$E$15,Inputs!$E$16), AVERAGE('Annual Cash Flow US$'!$E$8,'Annual Cash Flow US$'!$F$8)/'Interim Balance Sheet US$'!W74, SUM(OFFSET('Interim Cash Flow Reported'!W7,0,-1,,2))/'Interim Balance Sheet US$'!W74)),"")</f>
        <v/>
      </c>
      <c r="X46" s="2" t="str">
        <f ca="1">IFERROR(IF(Inputs!$E$14 = "Quarterly", IF(YEAR(X2)=Inputs!$E$17, AVERAGE('Annual Cash Flow US$'!$F$8,'Annual Cash Flow US$'!$G$8)/'Interim Balance Sheet US$'!X74, SUM(OFFSET('Interim Cash Flow Reported'!X7,0,-3,,4))/'Interim Balance Sheet US$'!X74), IF(X2=DATE(Inputs!$E$17,Inputs!$E$15,Inputs!$E$16), AVERAGE('Annual Cash Flow US$'!$E$8,'Annual Cash Flow US$'!$F$8)/'Interim Balance Sheet US$'!X74, SUM(OFFSET('Interim Cash Flow Reported'!X7,0,-1,,2))/'Interim Balance Sheet US$'!X74)),"")</f>
        <v/>
      </c>
      <c r="Y46" s="2" t="str">
        <f ca="1">IFERROR(IF(Inputs!$E$14 = "Quarterly", IF(YEAR(Y2)=Inputs!$E$17, AVERAGE('Annual Cash Flow US$'!$F$8,'Annual Cash Flow US$'!$G$8)/'Interim Balance Sheet US$'!Y74, SUM(OFFSET('Interim Cash Flow Reported'!Y7,0,-3,,4))/'Interim Balance Sheet US$'!Y74), IF(Y2=DATE(Inputs!$E$17,Inputs!$E$15,Inputs!$E$16), AVERAGE('Annual Cash Flow US$'!$E$8,'Annual Cash Flow US$'!$F$8)/'Interim Balance Sheet US$'!Y74, SUM(OFFSET('Interim Cash Flow Reported'!Y7,0,-1,,2))/'Interim Balance Sheet US$'!Y74)),"")</f>
        <v/>
      </c>
      <c r="Z46" s="2" t="str">
        <f ca="1">IFERROR(IF(Inputs!$E$14 = "Quarterly", IF(YEAR(Z2)=Inputs!$E$17, AVERAGE('Annual Cash Flow US$'!$F$8,'Annual Cash Flow US$'!$G$8)/'Interim Balance Sheet US$'!Z74, SUM(OFFSET('Interim Cash Flow Reported'!Z7,0,-3,,4))/'Interim Balance Sheet US$'!Z74), IF(Z2=DATE(Inputs!$E$17,Inputs!$E$15,Inputs!$E$16), AVERAGE('Annual Cash Flow US$'!$E$8,'Annual Cash Flow US$'!$F$8)/'Interim Balance Sheet US$'!Z74, SUM(OFFSET('Interim Cash Flow Reported'!Z7,0,-1,,2))/'Interim Balance Sheet US$'!Z74)),"")</f>
        <v/>
      </c>
      <c r="AA46" s="2" t="str">
        <f ca="1">IFERROR(IF(Inputs!$E$14 = "Quarterly", IF(YEAR(AA2)=Inputs!$E$17, AVERAGE('Annual Cash Flow US$'!$F$8,'Annual Cash Flow US$'!$G$8)/'Interim Balance Sheet US$'!AA74, SUM(OFFSET('Interim Cash Flow Reported'!AA7,0,-3,,4))/'Interim Balance Sheet US$'!AA74), IF(AA2=DATE(Inputs!$E$17,Inputs!$E$15,Inputs!$E$16), AVERAGE('Annual Cash Flow US$'!$E$8,'Annual Cash Flow US$'!$F$8)/'Interim Balance Sheet US$'!AA74, SUM(OFFSET('Interim Cash Flow Reported'!AA7,0,-1,,2))/'Interim Balance Sheet US$'!AA74)),"")</f>
        <v/>
      </c>
      <c r="AB46" s="2" t="str">
        <f ca="1">IFERROR(IF(Inputs!$E$14 = "Quarterly", IF(YEAR(AB2)=Inputs!$E$17, AVERAGE('Annual Cash Flow US$'!$F$8,'Annual Cash Flow US$'!$G$8)/'Interim Balance Sheet US$'!AB74, SUM(OFFSET('Interim Cash Flow Reported'!AB7,0,-3,,4))/'Interim Balance Sheet US$'!AB74), IF(AB2=DATE(Inputs!$E$17,Inputs!$E$15,Inputs!$E$16), AVERAGE('Annual Cash Flow US$'!$E$8,'Annual Cash Flow US$'!$F$8)/'Interim Balance Sheet US$'!AB74, SUM(OFFSET('Interim Cash Flow Reported'!AB7,0,-1,,2))/'Interim Balance Sheet US$'!AB74)),"")</f>
        <v/>
      </c>
    </row>
    <row r="47" spans="1:28" x14ac:dyDescent="0.3">
      <c r="A47" s="85" t="s">
        <v>221</v>
      </c>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row>
    <row r="48" spans="1:28" x14ac:dyDescent="0.3">
      <c r="A48" s="85" t="s">
        <v>222</v>
      </c>
      <c r="B48" s="46" t="str">
        <f>IFERROR(B12/'Interim Inc Statement Reported'!D89,"")</f>
        <v/>
      </c>
      <c r="C48" s="46" t="str">
        <f>IFERROR(C12/'Interim Inc Statement Reported'!E89,"")</f>
        <v/>
      </c>
      <c r="D48" s="46" t="str">
        <f>IFERROR(D12/'Interim Inc Statement Reported'!F89,"")</f>
        <v/>
      </c>
      <c r="E48" s="46" t="str">
        <f>IFERROR(E12/'Interim Inc Statement Reported'!G89,"")</f>
        <v/>
      </c>
      <c r="F48" s="46" t="str">
        <f>IFERROR(F12/'Interim Inc Statement Reported'!H89,"")</f>
        <v/>
      </c>
      <c r="G48" s="46" t="str">
        <f>IFERROR(G12/'Interim Inc Statement Reported'!I89,"")</f>
        <v/>
      </c>
      <c r="H48" s="46" t="str">
        <f>IFERROR(H12/'Interim Inc Statement Reported'!J89,"")</f>
        <v/>
      </c>
      <c r="I48" s="46" t="str">
        <f>IFERROR(I12/'Interim Inc Statement Reported'!K89,"")</f>
        <v/>
      </c>
      <c r="J48" s="46" t="str">
        <f>IFERROR(J12/'Interim Inc Statement Reported'!#REF!,"")</f>
        <v/>
      </c>
      <c r="K48" s="46" t="str">
        <f>IFERROR(K12/'Interim Inc Statement Reported'!L89,"")</f>
        <v/>
      </c>
      <c r="L48" s="46" t="str">
        <f>IFERROR(L12/'Interim Inc Statement Reported'!M89,"")</f>
        <v/>
      </c>
      <c r="M48" s="46" t="str">
        <f>IFERROR(M12/'Interim Inc Statement Reported'!N89,"")</f>
        <v/>
      </c>
      <c r="N48" s="46" t="str">
        <f>IFERROR(N12/'Interim Inc Statement Reported'!#REF!,"")</f>
        <v/>
      </c>
      <c r="O48" s="46" t="str">
        <f>IFERROR(O12/'Interim Inc Statement Reported'!P89,"")</f>
        <v/>
      </c>
      <c r="P48" s="46" t="str">
        <f>IFERROR(P12/'Interim Inc Statement Reported'!Q89,"")</f>
        <v/>
      </c>
      <c r="Q48" s="46" t="str">
        <f>IFERROR(Q12/'Interim Inc Statement Reported'!R89,"")</f>
        <v/>
      </c>
      <c r="R48" s="46" t="str">
        <f>IFERROR(R12/'Interim Inc Statement Reported'!#REF!,"")</f>
        <v/>
      </c>
      <c r="S48" s="46" t="str">
        <f>IFERROR(S12/'Interim Inc Statement Reported'!T89,"")</f>
        <v/>
      </c>
      <c r="T48" s="46" t="str">
        <f>IFERROR(T12/'Interim Inc Statement Reported'!#REF!,"")</f>
        <v/>
      </c>
      <c r="U48" s="46" t="str">
        <f>IFERROR(U12/'Interim Inc Statement Reported'!V89,"")</f>
        <v/>
      </c>
      <c r="V48" s="46" t="str">
        <f>IFERROR(V12/'Interim Inc Statement Reported'!W89,"")</f>
        <v/>
      </c>
      <c r="W48" s="46" t="str">
        <f>IFERROR(W12/'Interim Inc Statement Reported'!X89,"")</f>
        <v/>
      </c>
      <c r="X48" s="46" t="str">
        <f>IFERROR(X12/'Interim Inc Statement Reported'!Y89,"")</f>
        <v/>
      </c>
      <c r="Y48" s="46" t="str">
        <f>IFERROR(Y12/'Interim Inc Statement Reported'!Z89,"")</f>
        <v/>
      </c>
      <c r="Z48" s="46" t="str">
        <f>IFERROR(Z12/'Interim Inc Statement Reported'!AA89,"")</f>
        <v/>
      </c>
      <c r="AA48" s="46" t="str">
        <f>IFERROR(AA12/'Interim Inc Statement Reported'!AB89,"")</f>
        <v/>
      </c>
      <c r="AB48" s="46" t="str">
        <f>IFERROR(AB12/'Interim Inc Statement Reported'!AC89,"")</f>
        <v/>
      </c>
    </row>
    <row r="49" spans="1:28" x14ac:dyDescent="0.3">
      <c r="A49" s="85" t="s">
        <v>223</v>
      </c>
      <c r="B49" s="2"/>
      <c r="C49" s="2"/>
      <c r="D49" s="2"/>
      <c r="E49" s="2"/>
      <c r="F49" s="2"/>
      <c r="G49" s="2"/>
      <c r="H49" s="2"/>
      <c r="I49" s="2"/>
      <c r="J49" s="2"/>
      <c r="K49" s="2"/>
      <c r="L49" s="2"/>
      <c r="M49" s="2"/>
      <c r="N49" s="2"/>
      <c r="O49" s="2"/>
      <c r="P49" s="2"/>
      <c r="Q49" s="2"/>
      <c r="R49" s="2"/>
      <c r="S49" s="2"/>
      <c r="T49" s="2"/>
      <c r="U49" s="2"/>
      <c r="V49" s="2"/>
      <c r="W49" s="2"/>
      <c r="X49" s="2"/>
      <c r="Y49" s="2"/>
      <c r="Z49" s="2"/>
      <c r="AA49" s="2"/>
      <c r="AB49" s="2"/>
    </row>
    <row r="50" spans="1:28" x14ac:dyDescent="0.3">
      <c r="A50" s="85" t="s">
        <v>224</v>
      </c>
      <c r="B50" s="2"/>
      <c r="C50" s="2"/>
      <c r="D50" s="2"/>
      <c r="E50" s="2"/>
      <c r="F50" s="2"/>
      <c r="G50" s="2"/>
      <c r="H50" s="2"/>
      <c r="I50" s="2"/>
      <c r="J50" s="2"/>
      <c r="K50" s="2"/>
      <c r="L50" s="2"/>
      <c r="M50" s="2"/>
      <c r="N50" s="2"/>
      <c r="O50" s="2"/>
      <c r="P50" s="2"/>
      <c r="Q50" s="2"/>
      <c r="R50" s="2"/>
      <c r="S50" s="2"/>
      <c r="T50" s="2"/>
      <c r="U50" s="2"/>
      <c r="V50" s="2"/>
      <c r="W50" s="2"/>
      <c r="X50" s="2"/>
      <c r="Y50" s="2"/>
      <c r="Z50" s="2"/>
      <c r="AA50" s="2"/>
      <c r="AB50" s="2"/>
    </row>
    <row r="51" spans="1:28" x14ac:dyDescent="0.3">
      <c r="A51" s="85" t="s">
        <v>225</v>
      </c>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1:28" x14ac:dyDescent="0.3">
      <c r="A52" s="85" t="s">
        <v>302</v>
      </c>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1:28" x14ac:dyDescent="0.3">
      <c r="A53" s="8" t="s">
        <v>292</v>
      </c>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1:28" x14ac:dyDescent="0.3">
      <c r="A54" s="85"/>
      <c r="B54" s="2"/>
      <c r="C54" s="2"/>
      <c r="D54" s="2"/>
      <c r="E54" s="2"/>
      <c r="F54" s="2"/>
      <c r="G54" s="2"/>
      <c r="H54" s="2"/>
      <c r="I54" s="2"/>
      <c r="J54" s="2"/>
      <c r="K54" s="2"/>
      <c r="L54" s="2"/>
      <c r="M54" s="2"/>
      <c r="N54" s="2"/>
      <c r="O54" s="2"/>
      <c r="P54" s="2"/>
      <c r="Q54" s="2"/>
      <c r="R54" s="2"/>
      <c r="S54" s="2"/>
      <c r="T54" s="2"/>
      <c r="U54" s="2"/>
      <c r="V54" s="2"/>
      <c r="W54" s="2"/>
      <c r="X54" s="2"/>
      <c r="Y54" s="2"/>
      <c r="Z54" s="2"/>
      <c r="AA54" s="2"/>
      <c r="AB54" s="2"/>
    </row>
    <row r="55" spans="1:28" x14ac:dyDescent="0.3">
      <c r="A55" s="14" t="s">
        <v>300</v>
      </c>
      <c r="B55" s="21">
        <f>B13-'Interim Inc Statement US$'!D27</f>
        <v>748.87281784911136</v>
      </c>
      <c r="C55" s="21">
        <f>C13-'Interim Inc Statement US$'!E27</f>
        <v>489.8043142815136</v>
      </c>
      <c r="D55" s="21">
        <f>D13-'Interim Inc Statement US$'!F27</f>
        <v>427.45126304870018</v>
      </c>
      <c r="E55" s="21">
        <f>E13-'Interim Inc Statement US$'!G27</f>
        <v>75.654120598938249</v>
      </c>
      <c r="F55" s="21">
        <f>F13-'Interim Inc Statement US$'!H27</f>
        <v>295.74439196983712</v>
      </c>
      <c r="G55" s="21">
        <f>G13-'Interim Inc Statement US$'!I27</f>
        <v>599.64643968267274</v>
      </c>
      <c r="H55" s="21">
        <f>H13-'Interim Inc Statement US$'!J27</f>
        <v>428.16487430848258</v>
      </c>
      <c r="I55" s="21">
        <f>I13-'Interim Inc Statement US$'!K27</f>
        <v>622.55047991136917</v>
      </c>
      <c r="J55" s="21">
        <f>J13-'Interim Inc Statement US$'!L27</f>
        <v>875.53916511170871</v>
      </c>
      <c r="K55" s="21">
        <f>K13-'Interim Inc Statement US$'!M27</f>
        <v>714.61959950343612</v>
      </c>
      <c r="L55" s="21">
        <f>L13-'Interim Inc Statement US$'!N27</f>
        <v>492.08382324563735</v>
      </c>
      <c r="M55" s="21">
        <f>M13-'Interim Inc Statement US$'!O27</f>
        <v>401.48352077759125</v>
      </c>
      <c r="N55" s="21">
        <f>N13-'Interim Inc Statement US$'!P27</f>
        <v>983.70657740667923</v>
      </c>
      <c r="O55" s="21">
        <f>O13-'Interim Inc Statement US$'!Q27</f>
        <v>761.53924862899737</v>
      </c>
      <c r="P55" s="21">
        <f>P13-'Interim Inc Statement US$'!R27</f>
        <v>283.8361464479168</v>
      </c>
      <c r="Q55" s="21">
        <f>Q13-'Interim Inc Statement US$'!S27</f>
        <v>272.56208358570564</v>
      </c>
      <c r="R55" s="21">
        <f>R13-'Interim Inc Statement US$'!V27</f>
        <v>2339.5622486137399</v>
      </c>
      <c r="S55" s="21">
        <f>S13-'Interim Inc Statement US$'!W27</f>
        <v>814.80987386260097</v>
      </c>
      <c r="T55" s="21">
        <f>T13-'Interim Inc Statement US$'!X27</f>
        <v>631.64707448395507</v>
      </c>
      <c r="U55" s="21">
        <f>U13-'Interim Inc Statement US$'!Y27</f>
        <v>512.8751744400588</v>
      </c>
      <c r="V55" s="21">
        <f>V13-'Interim Inc Statement US$'!Z27</f>
        <v>-14.906521205520185</v>
      </c>
      <c r="W55" s="21">
        <f>W13-'Interim Inc Statement US$'!AA27</f>
        <v>-902.07542244675153</v>
      </c>
      <c r="X55" s="21">
        <f>X13-'Interim Inc Statement US$'!AB27</f>
        <v>-212.66312228129533</v>
      </c>
      <c r="Y55" s="21" t="e">
        <f>Y13-'Interim Inc Statement US$'!AC27</f>
        <v>#DIV/0!</v>
      </c>
      <c r="Z55" s="21">
        <f>Z13-'Interim Inc Statement US$'!AD27</f>
        <v>-608.07417423218089</v>
      </c>
      <c r="AA55" s="21">
        <f>AA13-'Interim Inc Statement US$'!AE27</f>
        <v>-983.17307692307679</v>
      </c>
      <c r="AB55" s="21">
        <f>AB13-'Interim Inc Statement US$'!AF27</f>
        <v>322.96650717703346</v>
      </c>
    </row>
    <row r="56" spans="1:28" x14ac:dyDescent="0.3">
      <c r="A56" s="85" t="s">
        <v>293</v>
      </c>
      <c r="B56" s="45">
        <f>MAX(0,-B14-B15-B25)</f>
        <v>114.67056438913696</v>
      </c>
      <c r="C56" s="45">
        <f t="shared" ref="C56:H56" si="54">MAX(0,-C14-C15-C25)</f>
        <v>157.7659046736116</v>
      </c>
      <c r="D56" s="45">
        <f t="shared" si="54"/>
        <v>196.69822512379744</v>
      </c>
      <c r="E56" s="45">
        <f t="shared" si="54"/>
        <v>220.29732645965714</v>
      </c>
      <c r="F56" s="45">
        <f t="shared" si="54"/>
        <v>259.07678424580286</v>
      </c>
      <c r="G56" s="45">
        <f t="shared" si="54"/>
        <v>473.26076668244218</v>
      </c>
      <c r="H56" s="45">
        <f t="shared" si="54"/>
        <v>52.164440728154233</v>
      </c>
      <c r="I56" s="45">
        <f>MAX(0,-I14-I25)</f>
        <v>0</v>
      </c>
      <c r="J56" s="45">
        <f>MAX(0,-J14-J25)</f>
        <v>419.2729580273774</v>
      </c>
      <c r="K56" s="45">
        <f>MAX(0,-K14-K25)</f>
        <v>389.01262063845581</v>
      </c>
      <c r="L56" s="45">
        <f t="shared" ref="L56:O56" si="55">MAX(0,-L14-L25)</f>
        <v>134.78808760428132</v>
      </c>
      <c r="M56" s="45">
        <f t="shared" si="55"/>
        <v>347.12257005118738</v>
      </c>
      <c r="N56" s="45">
        <f t="shared" si="55"/>
        <v>181.15812152278636</v>
      </c>
      <c r="O56" s="45">
        <f t="shared" si="55"/>
        <v>267.2810455724611</v>
      </c>
      <c r="P56" s="45">
        <f t="shared" ref="P56:S56" si="56">MAX(0,-P14-P25)</f>
        <v>148.4210577113096</v>
      </c>
      <c r="Q56" s="45">
        <f t="shared" si="56"/>
        <v>165.80860084797095</v>
      </c>
      <c r="R56" s="45">
        <f t="shared" si="56"/>
        <v>691.86668875751877</v>
      </c>
      <c r="S56" s="45">
        <f t="shared" si="56"/>
        <v>413.38519288625537</v>
      </c>
      <c r="T56" s="45">
        <f t="shared" ref="T56:U56" si="57">MAX(0,-T14-T25)</f>
        <v>227.96854846483274</v>
      </c>
      <c r="U56" s="45">
        <f t="shared" si="57"/>
        <v>190.15017545709716</v>
      </c>
      <c r="V56" s="45">
        <f t="shared" ref="V56:Y56" si="58">MAX(0,-V14-V25)</f>
        <v>0</v>
      </c>
      <c r="W56" s="45">
        <f t="shared" si="58"/>
        <v>0</v>
      </c>
      <c r="X56" s="45">
        <f t="shared" si="58"/>
        <v>0</v>
      </c>
      <c r="Y56" s="45">
        <f t="shared" si="58"/>
        <v>119.36040837774942</v>
      </c>
      <c r="Z56" s="45">
        <f t="shared" ref="Z56:AB56" si="59">MAX(0,-Z14-Z25)</f>
        <v>117.44253428626618</v>
      </c>
      <c r="AA56" s="45">
        <f t="shared" si="59"/>
        <v>0</v>
      </c>
      <c r="AB56" s="45">
        <f t="shared" si="59"/>
        <v>0</v>
      </c>
    </row>
    <row r="57" spans="1:28" s="44" customFormat="1" x14ac:dyDescent="0.3">
      <c r="A57" s="42" t="s">
        <v>294</v>
      </c>
      <c r="B57" s="43">
        <f>B55-B56</f>
        <v>634.20225345997437</v>
      </c>
      <c r="C57" s="43">
        <f t="shared" ref="C57:H57" si="60">C55-C56</f>
        <v>332.038409607902</v>
      </c>
      <c r="D57" s="43">
        <f t="shared" si="60"/>
        <v>230.75303792490274</v>
      </c>
      <c r="E57" s="43">
        <f t="shared" si="60"/>
        <v>-144.64320586071889</v>
      </c>
      <c r="F57" s="43">
        <f t="shared" si="60"/>
        <v>36.667607724034269</v>
      </c>
      <c r="G57" s="43">
        <f t="shared" si="60"/>
        <v>126.38567300023055</v>
      </c>
      <c r="H57" s="43">
        <f t="shared" si="60"/>
        <v>376.00043358032838</v>
      </c>
      <c r="I57" s="43">
        <f>I55+I56</f>
        <v>622.55047991136917</v>
      </c>
      <c r="J57" s="43">
        <f>J55+J56</f>
        <v>1294.812123139086</v>
      </c>
      <c r="K57" s="43">
        <f>K55+K56</f>
        <v>1103.632220141892</v>
      </c>
      <c r="L57" s="43">
        <f t="shared" ref="L57:O57" si="61">L55+L56</f>
        <v>626.87191084991866</v>
      </c>
      <c r="M57" s="43">
        <f t="shared" si="61"/>
        <v>748.60609082877863</v>
      </c>
      <c r="N57" s="43">
        <f t="shared" si="61"/>
        <v>1164.8646989294657</v>
      </c>
      <c r="O57" s="43">
        <f t="shared" si="61"/>
        <v>1028.8202942014584</v>
      </c>
      <c r="P57" s="43">
        <f t="shared" ref="P57:S57" si="62">P55+P56</f>
        <v>432.25720415922638</v>
      </c>
      <c r="Q57" s="43">
        <f t="shared" si="62"/>
        <v>438.37068443367662</v>
      </c>
      <c r="R57" s="43">
        <f t="shared" si="62"/>
        <v>3031.4289373712586</v>
      </c>
      <c r="S57" s="43">
        <f t="shared" si="62"/>
        <v>1228.1950667488563</v>
      </c>
      <c r="T57" s="43">
        <f t="shared" ref="T57:U57" si="63">T55+T56</f>
        <v>859.61562294878786</v>
      </c>
      <c r="U57" s="43">
        <f t="shared" si="63"/>
        <v>703.02534989715593</v>
      </c>
      <c r="V57" s="43">
        <f t="shared" ref="V57:Y57" si="64">V55+V56</f>
        <v>-14.906521205520185</v>
      </c>
      <c r="W57" s="43">
        <f t="shared" si="64"/>
        <v>-902.07542244675153</v>
      </c>
      <c r="X57" s="43">
        <f t="shared" si="64"/>
        <v>-212.66312228129533</v>
      </c>
      <c r="Y57" s="43" t="e">
        <f t="shared" si="64"/>
        <v>#DIV/0!</v>
      </c>
      <c r="Z57" s="43">
        <f t="shared" ref="Z57:AB57" si="65">Z55+Z56</f>
        <v>-490.63163994591469</v>
      </c>
      <c r="AA57" s="43">
        <f t="shared" si="65"/>
        <v>-983.17307692307679</v>
      </c>
      <c r="AB57" s="43">
        <f t="shared" si="65"/>
        <v>322.96650717703346</v>
      </c>
    </row>
    <row r="58" spans="1:28" x14ac:dyDescent="0.3">
      <c r="A58" s="85"/>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row>
    <row r="59" spans="1:28" x14ac:dyDescent="0.3">
      <c r="A59" s="42" t="s">
        <v>299</v>
      </c>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row>
    <row r="60" spans="1:28" x14ac:dyDescent="0.3">
      <c r="A60" s="85" t="s">
        <v>295</v>
      </c>
      <c r="B60" s="21">
        <f>-'Interim Inc Statement US$'!D27</f>
        <v>68.117284186840351</v>
      </c>
      <c r="C60" s="21">
        <f>-'Interim Inc Statement US$'!E27</f>
        <v>73.432442153219043</v>
      </c>
      <c r="D60" s="21">
        <f>-'Interim Inc Statement US$'!F27</f>
        <v>81.507302908791871</v>
      </c>
      <c r="E60" s="21">
        <f>-'Interim Inc Statement US$'!G27</f>
        <v>86.893780112186079</v>
      </c>
      <c r="F60" s="21">
        <f>-'Interim Inc Statement US$'!H27</f>
        <v>90.520647145914694</v>
      </c>
      <c r="G60" s="21">
        <f>-'Interim Inc Statement US$'!I27</f>
        <v>89.92131884600974</v>
      </c>
      <c r="H60" s="21">
        <f>-'Interim Inc Statement US$'!J27</f>
        <v>92.164506088900978</v>
      </c>
      <c r="I60" s="21">
        <f>-'Interim Inc Statement US$'!K27</f>
        <v>96.510764662212324</v>
      </c>
      <c r="J60" s="21">
        <f>-'Interim Inc Statement US$'!L27</f>
        <v>99.695331068255413</v>
      </c>
      <c r="K60" s="21">
        <f>-'Interim Inc Statement US$'!M27</f>
        <v>99.177877157482115</v>
      </c>
      <c r="L60" s="21">
        <f>-'Interim Inc Statement US$'!N27</f>
        <v>98.885437512437932</v>
      </c>
      <c r="M60" s="21">
        <f>-'Interim Inc Statement US$'!O27</f>
        <v>95.291503204094838</v>
      </c>
      <c r="N60" s="21">
        <f>-'Interim Inc Statement US$'!P27</f>
        <v>104.81280879613101</v>
      </c>
      <c r="O60" s="21">
        <f>-'Interim Inc Statement US$'!Q27</f>
        <v>100.69654754694126</v>
      </c>
      <c r="P60" s="21">
        <f>-'Interim Inc Statement US$'!R27</f>
        <v>0</v>
      </c>
      <c r="Q60" s="21">
        <f>-'Interim Inc Statement US$'!S27</f>
        <v>0</v>
      </c>
      <c r="R60" s="21">
        <f>-'Interim Inc Statement US$'!V27</f>
        <v>0</v>
      </c>
      <c r="S60" s="21">
        <f>-'Interim Inc Statement US$'!W27</f>
        <v>0</v>
      </c>
      <c r="T60" s="21">
        <f>-'Interim Inc Statement US$'!X27</f>
        <v>0</v>
      </c>
      <c r="U60" s="21">
        <f>-'Interim Inc Statement US$'!Y27</f>
        <v>0</v>
      </c>
      <c r="V60" s="21">
        <f>-'Interim Inc Statement US$'!Z27</f>
        <v>0</v>
      </c>
      <c r="W60" s="21">
        <f>-'Interim Inc Statement US$'!AA27</f>
        <v>0</v>
      </c>
      <c r="X60" s="21">
        <f>-'Interim Inc Statement US$'!AB27</f>
        <v>0</v>
      </c>
      <c r="Y60" s="21" t="e">
        <f>-'Interim Inc Statement US$'!AC27</f>
        <v>#DIV/0!</v>
      </c>
      <c r="Z60" s="21">
        <f>-'Interim Inc Statement US$'!AD27</f>
        <v>0</v>
      </c>
      <c r="AA60" s="21">
        <f>-'Interim Inc Statement US$'!AE27</f>
        <v>0</v>
      </c>
      <c r="AB60" s="21">
        <f>-'Interim Inc Statement US$'!AF27</f>
        <v>0</v>
      </c>
    </row>
    <row r="61" spans="1:28" x14ac:dyDescent="0.3">
      <c r="A61" s="85" t="s">
        <v>296</v>
      </c>
      <c r="B61" s="45">
        <f>-B27</f>
        <v>92.86700637148418</v>
      </c>
      <c r="C61" s="45">
        <f t="shared" ref="C61:H61" si="66">-C27</f>
        <v>119.54426797433457</v>
      </c>
      <c r="D61" s="45">
        <f t="shared" si="66"/>
        <v>94.904980215373072</v>
      </c>
      <c r="E61" s="45">
        <f t="shared" si="66"/>
        <v>240.52871358350319</v>
      </c>
      <c r="F61" s="45">
        <f t="shared" si="66"/>
        <v>167.38106847341189</v>
      </c>
      <c r="G61" s="45">
        <f t="shared" si="66"/>
        <v>121.80645962154657</v>
      </c>
      <c r="H61" s="45">
        <f t="shared" si="66"/>
        <v>61.369930268416738</v>
      </c>
      <c r="I61" s="45">
        <f>-I27</f>
        <v>1354.8145372798801</v>
      </c>
      <c r="J61" s="45">
        <f>-J27</f>
        <v>114.82790922551597</v>
      </c>
      <c r="K61" s="45">
        <f>-K27</f>
        <v>162.58351893095769</v>
      </c>
      <c r="L61" s="45">
        <f t="shared" ref="L61:O61" si="67">-L27</f>
        <v>161.90521765484681</v>
      </c>
      <c r="M61" s="45">
        <f t="shared" si="67"/>
        <v>188.91024220472784</v>
      </c>
      <c r="N61" s="45">
        <f t="shared" si="67"/>
        <v>178.78487102248778</v>
      </c>
      <c r="O61" s="45">
        <f t="shared" si="67"/>
        <v>277.35250526069882</v>
      </c>
      <c r="P61" s="45">
        <f t="shared" ref="P61:S61" si="68">-P27</f>
        <v>172.13782466517867</v>
      </c>
      <c r="Q61" s="45">
        <f t="shared" si="68"/>
        <v>273.31920048455487</v>
      </c>
      <c r="R61" s="45">
        <f t="shared" si="68"/>
        <v>189.5113103987986</v>
      </c>
      <c r="S61" s="45">
        <f t="shared" si="68"/>
        <v>209.30895842342042</v>
      </c>
      <c r="T61" s="45">
        <f t="shared" ref="T61:U61" si="69">-T27</f>
        <v>209.03428364217223</v>
      </c>
      <c r="U61" s="45">
        <f t="shared" si="69"/>
        <v>209.08943596079212</v>
      </c>
      <c r="V61" s="45">
        <f t="shared" ref="V61:Y61" si="70">-V27</f>
        <v>379.37096468048873</v>
      </c>
      <c r="W61" s="45">
        <f t="shared" si="70"/>
        <v>193.97145374754288</v>
      </c>
      <c r="X61" s="45">
        <f t="shared" si="70"/>
        <v>1065.5463434583783</v>
      </c>
      <c r="Y61" s="45">
        <f t="shared" si="70"/>
        <v>381.35275129494784</v>
      </c>
      <c r="Z61" s="45">
        <f t="shared" ref="Z61:AB61" si="71">-Z27</f>
        <v>312.14989376086538</v>
      </c>
      <c r="AA61" s="45">
        <f t="shared" si="71"/>
        <v>702.72435897435901</v>
      </c>
      <c r="AB61" s="45">
        <f t="shared" si="71"/>
        <v>2354.8644338118024</v>
      </c>
    </row>
    <row r="62" spans="1:28" s="44" customFormat="1" x14ac:dyDescent="0.3">
      <c r="A62" s="42" t="s">
        <v>297</v>
      </c>
      <c r="B62" s="43">
        <f>B60+B61</f>
        <v>160.98429055832452</v>
      </c>
      <c r="C62" s="43">
        <f t="shared" ref="C62:H62" si="72">C60+C61</f>
        <v>192.97671012755362</v>
      </c>
      <c r="D62" s="43">
        <f t="shared" si="72"/>
        <v>176.41228312416496</v>
      </c>
      <c r="E62" s="43">
        <f t="shared" si="72"/>
        <v>327.42249369568924</v>
      </c>
      <c r="F62" s="43">
        <f t="shared" si="72"/>
        <v>257.90171561932658</v>
      </c>
      <c r="G62" s="43">
        <f t="shared" si="72"/>
        <v>211.72777846755631</v>
      </c>
      <c r="H62" s="43">
        <f t="shared" si="72"/>
        <v>153.5344363573177</v>
      </c>
      <c r="I62" s="43">
        <f>I60+I61</f>
        <v>1451.3253019420924</v>
      </c>
      <c r="J62" s="43">
        <f>J60+J61</f>
        <v>214.52324029377138</v>
      </c>
      <c r="K62" s="43">
        <f>K60+K61</f>
        <v>261.76139608843982</v>
      </c>
      <c r="L62" s="43">
        <f t="shared" ref="L62:O62" si="73">L60+L61</f>
        <v>260.79065516728474</v>
      </c>
      <c r="M62" s="43">
        <f t="shared" si="73"/>
        <v>284.20174540882266</v>
      </c>
      <c r="N62" s="43">
        <f t="shared" si="73"/>
        <v>283.59767981861876</v>
      </c>
      <c r="O62" s="43">
        <f t="shared" si="73"/>
        <v>378.04905280764007</v>
      </c>
      <c r="P62" s="43">
        <f t="shared" ref="P62:S62" si="74">P60+P61</f>
        <v>172.13782466517867</v>
      </c>
      <c r="Q62" s="43">
        <f t="shared" si="74"/>
        <v>273.31920048455487</v>
      </c>
      <c r="R62" s="43">
        <f t="shared" si="74"/>
        <v>189.5113103987986</v>
      </c>
      <c r="S62" s="43">
        <f t="shared" si="74"/>
        <v>209.30895842342042</v>
      </c>
      <c r="T62" s="43">
        <f t="shared" ref="T62:U62" si="75">T60+T61</f>
        <v>209.03428364217223</v>
      </c>
      <c r="U62" s="43">
        <f t="shared" si="75"/>
        <v>209.08943596079212</v>
      </c>
      <c r="V62" s="43">
        <f t="shared" ref="V62:Y62" si="76">V60+V61</f>
        <v>379.37096468048873</v>
      </c>
      <c r="W62" s="43">
        <f t="shared" si="76"/>
        <v>193.97145374754288</v>
      </c>
      <c r="X62" s="43">
        <f t="shared" si="76"/>
        <v>1065.5463434583783</v>
      </c>
      <c r="Y62" s="43" t="e">
        <f t="shared" si="76"/>
        <v>#DIV/0!</v>
      </c>
      <c r="Z62" s="43">
        <f t="shared" ref="Z62:AB62" si="77">Z60+Z61</f>
        <v>312.14989376086538</v>
      </c>
      <c r="AA62" s="43">
        <f t="shared" si="77"/>
        <v>702.72435897435901</v>
      </c>
      <c r="AB62" s="43">
        <f t="shared" si="77"/>
        <v>2354.8644338118024</v>
      </c>
    </row>
    <row r="63" spans="1:28" s="44" customFormat="1" x14ac:dyDescent="0.3">
      <c r="A63" s="42" t="s">
        <v>298</v>
      </c>
      <c r="B63" s="81">
        <f>IFERROR(B57/B62,"")</f>
        <v>3.9395288276914404</v>
      </c>
      <c r="C63" s="81">
        <f t="shared" ref="C63:K63" si="78">IFERROR(C57/C62,"")</f>
        <v>1.7206138988918998</v>
      </c>
      <c r="D63" s="81">
        <f t="shared" si="78"/>
        <v>1.3080327165342047</v>
      </c>
      <c r="E63" s="81">
        <f t="shared" si="78"/>
        <v>-0.4417631917346283</v>
      </c>
      <c r="F63" s="81">
        <f t="shared" si="78"/>
        <v>0.14217667236520889</v>
      </c>
      <c r="G63" s="81">
        <f t="shared" si="78"/>
        <v>0.59692532512731677</v>
      </c>
      <c r="H63" s="81">
        <f t="shared" si="78"/>
        <v>2.4489648218414657</v>
      </c>
      <c r="I63" s="81">
        <f t="shared" si="78"/>
        <v>0.42895309485633759</v>
      </c>
      <c r="J63" s="81">
        <f t="shared" si="78"/>
        <v>6.0357662012094853</v>
      </c>
      <c r="K63" s="81">
        <f t="shared" si="78"/>
        <v>4.2161763981768123</v>
      </c>
      <c r="L63" s="81">
        <f t="shared" ref="L63:O63" si="79">IFERROR(L57/L62,"")</f>
        <v>2.4037360941779538</v>
      </c>
      <c r="M63" s="81">
        <f t="shared" si="79"/>
        <v>2.6340657751834455</v>
      </c>
      <c r="N63" s="81">
        <f t="shared" si="79"/>
        <v>4.1074549681594048</v>
      </c>
      <c r="O63" s="81">
        <f t="shared" si="79"/>
        <v>2.7213936566188028</v>
      </c>
      <c r="P63" s="81">
        <f t="shared" ref="P63:S63" si="80">IFERROR(P57/P62,"")</f>
        <v>2.5111111111111106</v>
      </c>
      <c r="Q63" s="81">
        <f t="shared" si="80"/>
        <v>1.6038781163434901</v>
      </c>
      <c r="R63" s="81">
        <f t="shared" si="80"/>
        <v>15.996031746031747</v>
      </c>
      <c r="S63" s="81">
        <f t="shared" si="80"/>
        <v>5.8678571428571429</v>
      </c>
      <c r="T63" s="81">
        <f t="shared" ref="T63:U63" si="81">IFERROR(T57/T62,"")</f>
        <v>4.11231884057971</v>
      </c>
      <c r="U63" s="81">
        <f t="shared" si="81"/>
        <v>3.3623188405797095</v>
      </c>
      <c r="V63" s="81">
        <f t="shared" ref="V63:Y63" si="82">IFERROR(V57/V62,"")</f>
        <v>-3.9292730844793712E-2</v>
      </c>
      <c r="W63" s="81">
        <f t="shared" si="82"/>
        <v>-4.6505576208178443</v>
      </c>
      <c r="X63" s="81">
        <f t="shared" si="82"/>
        <v>-0.19958129797627358</v>
      </c>
      <c r="Y63" s="81" t="str">
        <f t="shared" si="82"/>
        <v/>
      </c>
      <c r="Z63" s="81">
        <f t="shared" ref="Z63:AB63" si="83">IFERROR(Z57/Z62,"")</f>
        <v>-1.5717821782178218</v>
      </c>
      <c r="AA63" s="81">
        <f t="shared" si="83"/>
        <v>-1.3990877993158493</v>
      </c>
      <c r="AB63" s="81">
        <f t="shared" si="83"/>
        <v>0.13714866237724346</v>
      </c>
    </row>
    <row r="64" spans="1:28" s="44" customFormat="1" x14ac:dyDescent="0.3">
      <c r="A64" s="42" t="s">
        <v>301</v>
      </c>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row>
  </sheetData>
  <mergeCells count="1">
    <mergeCell ref="A1:R1"/>
  </mergeCells>
  <pageMargins left="0.70866141732283472" right="0.70866141732283472" top="0.74803149606299213" bottom="0.74803149606299213" header="0.31496062992125984" footer="0.31496062992125984"/>
  <pageSetup paperSize="9" scale="26" orientation="portrait" r:id="rId1"/>
  <headerFooter alignWithMargins="0"/>
  <ignoredErrors>
    <ignoredError sqref="B12:F12" formulaRange="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A1:W259"/>
  <sheetViews>
    <sheetView zoomScale="85" zoomScaleNormal="85" workbookViewId="0">
      <pane xSplit="1" ySplit="7" topLeftCell="B8" activePane="bottomRight" state="frozen"/>
      <selection pane="topRight" activeCell="B1" sqref="B1"/>
      <selection pane="bottomLeft" activeCell="A8" sqref="A8"/>
      <selection pane="bottomRight" activeCell="P10" sqref="P10"/>
    </sheetView>
  </sheetViews>
  <sheetFormatPr defaultColWidth="8.88671875" defaultRowHeight="14.4" x14ac:dyDescent="0.3"/>
  <cols>
    <col min="1" max="1" width="41.88671875" style="13" bestFit="1" customWidth="1"/>
    <col min="2" max="4" width="11.109375" style="13" bestFit="1" customWidth="1"/>
    <col min="5" max="5" width="10.44140625" style="13" bestFit="1" customWidth="1"/>
    <col min="6" max="6" width="15.33203125" style="13" bestFit="1" customWidth="1"/>
    <col min="7" max="7" width="12.6640625" style="13" customWidth="1"/>
    <col min="8" max="12" width="13" style="13" customWidth="1"/>
    <col min="13" max="13" width="10.44140625" style="13" customWidth="1"/>
    <col min="14" max="14" width="6.88671875" style="13" bestFit="1" customWidth="1"/>
    <col min="15" max="15" width="8.88671875" style="13"/>
    <col min="16" max="16" width="15.6640625" style="13" bestFit="1" customWidth="1"/>
    <col min="17" max="16384" width="8.88671875" style="13"/>
  </cols>
  <sheetData>
    <row r="1" spans="1:23" ht="28.8" x14ac:dyDescent="0.55000000000000004">
      <c r="A1" s="349" t="str">
        <f>(Inputs!E9 &amp;"- Annual Operational Data")</f>
        <v>Air Canada- Annual Operational Data</v>
      </c>
      <c r="B1" s="349"/>
      <c r="C1" s="349"/>
      <c r="D1" s="349"/>
      <c r="E1" s="349"/>
      <c r="F1" s="349"/>
      <c r="G1" s="349"/>
      <c r="H1" s="349"/>
      <c r="I1" s="349"/>
      <c r="J1" s="349"/>
      <c r="K1" s="349"/>
      <c r="L1" s="349"/>
      <c r="M1" s="349"/>
      <c r="N1" s="69"/>
    </row>
    <row r="2" spans="1:23" x14ac:dyDescent="0.3">
      <c r="A2" s="3"/>
      <c r="B2" s="3" t="s">
        <v>11</v>
      </c>
      <c r="C2" s="3" t="s">
        <v>11</v>
      </c>
      <c r="D2" s="3" t="s">
        <v>11</v>
      </c>
      <c r="E2" s="3" t="s">
        <v>11</v>
      </c>
      <c r="F2" s="3" t="s">
        <v>11</v>
      </c>
      <c r="G2" s="3" t="s">
        <v>11</v>
      </c>
      <c r="H2" s="3" t="s">
        <v>11</v>
      </c>
      <c r="I2" s="3" t="s">
        <v>11</v>
      </c>
      <c r="J2" s="3" t="s">
        <v>11</v>
      </c>
      <c r="K2" s="3" t="s">
        <v>11</v>
      </c>
      <c r="L2" s="3" t="s">
        <v>11</v>
      </c>
      <c r="M2" s="3" t="s">
        <v>268</v>
      </c>
      <c r="N2" s="3"/>
      <c r="O2" s="16"/>
      <c r="P2" s="16"/>
      <c r="Q2" s="16"/>
      <c r="R2" s="16"/>
      <c r="S2" s="16"/>
      <c r="T2" s="16"/>
      <c r="U2" s="16"/>
      <c r="V2" s="16"/>
      <c r="W2" s="16"/>
    </row>
    <row r="3" spans="1:23" x14ac:dyDescent="0.3">
      <c r="A3" s="310">
        <f>B3-365</f>
        <v>40178</v>
      </c>
      <c r="B3" s="7">
        <f>DATE(Inputs!$E$13,Inputs!$E$11,Inputs!$E$12)</f>
        <v>40543</v>
      </c>
      <c r="C3" s="7">
        <f>DATE((Inputs!$E$13)+B7,Inputs!$E$11,Inputs!$E$12)</f>
        <v>40908</v>
      </c>
      <c r="D3" s="7">
        <f>DATE((Inputs!$E$13)+C7,Inputs!$E$11,Inputs!$E$12)</f>
        <v>41274</v>
      </c>
      <c r="E3" s="7">
        <f>DATE((Inputs!$E$13)+D7,Inputs!$E$11,Inputs!$E$12)</f>
        <v>41639</v>
      </c>
      <c r="F3" s="7">
        <f>DATE((Inputs!$E$13)+E7,Inputs!$E$11,Inputs!$E$12)</f>
        <v>42004</v>
      </c>
      <c r="G3" s="7">
        <f>DATE((Inputs!$E$13)+F7,Inputs!$E$11,Inputs!$E$12)</f>
        <v>42369</v>
      </c>
      <c r="H3" s="7">
        <f>DATE((Inputs!$E$13)+G7,Inputs!$E$11,Inputs!$E$12)</f>
        <v>42735</v>
      </c>
      <c r="I3" s="7">
        <f>DATE((Inputs!$E$13)+H7,Inputs!$E$11,Inputs!$E$12)</f>
        <v>43100</v>
      </c>
      <c r="J3" s="7">
        <f>DATE((Inputs!$E$13)+I7,Inputs!$E$11,Inputs!$E$12)</f>
        <v>43465</v>
      </c>
      <c r="K3" s="7">
        <f>DATE((Inputs!$E$13)+J7,Inputs!$E$11,Inputs!$E$12)</f>
        <v>43830</v>
      </c>
      <c r="L3" s="7">
        <f>DATE((Inputs!$E$13)+K7,Inputs!$E$11,Inputs!$E$12)</f>
        <v>44196</v>
      </c>
      <c r="M3" s="244">
        <v>44469</v>
      </c>
      <c r="N3" s="7"/>
      <c r="O3" s="16"/>
      <c r="P3" s="16"/>
      <c r="Q3" s="16"/>
      <c r="R3" s="16"/>
      <c r="S3" s="16"/>
      <c r="T3" s="16"/>
      <c r="U3" s="16"/>
      <c r="V3" s="16"/>
      <c r="W3" s="16"/>
    </row>
    <row r="4" spans="1:23" x14ac:dyDescent="0.3">
      <c r="A4" s="3"/>
      <c r="B4" s="3" t="s">
        <v>1</v>
      </c>
      <c r="C4" s="3" t="s">
        <v>1</v>
      </c>
      <c r="D4" s="3" t="s">
        <v>1</v>
      </c>
      <c r="E4" s="3" t="s">
        <v>1</v>
      </c>
      <c r="F4" s="3" t="s">
        <v>1</v>
      </c>
      <c r="G4" s="3" t="s">
        <v>1</v>
      </c>
      <c r="H4" s="3" t="s">
        <v>1</v>
      </c>
      <c r="I4" s="3" t="s">
        <v>1</v>
      </c>
      <c r="J4" s="3" t="s">
        <v>1</v>
      </c>
      <c r="K4" s="3" t="s">
        <v>1</v>
      </c>
      <c r="L4" s="3" t="s">
        <v>1</v>
      </c>
      <c r="M4" s="3" t="s">
        <v>1</v>
      </c>
      <c r="N4" s="3"/>
      <c r="O4" s="16"/>
      <c r="P4" s="16"/>
      <c r="Q4" s="16"/>
      <c r="R4" s="16"/>
      <c r="S4" s="16"/>
      <c r="T4" s="16"/>
      <c r="U4" s="16"/>
      <c r="V4" s="16"/>
      <c r="W4" s="16"/>
    </row>
    <row r="5" spans="1:23" x14ac:dyDescent="0.3">
      <c r="A5" s="3"/>
      <c r="B5" s="3"/>
      <c r="C5" s="3"/>
      <c r="D5" s="3"/>
      <c r="E5" s="3"/>
      <c r="F5" s="3"/>
      <c r="G5" s="3"/>
      <c r="H5" s="3"/>
      <c r="I5" s="3"/>
      <c r="J5" s="3"/>
      <c r="K5" s="3"/>
      <c r="L5" s="3"/>
      <c r="M5" s="3"/>
      <c r="N5" s="3"/>
      <c r="O5" s="16"/>
      <c r="P5" s="16"/>
      <c r="Q5" s="16"/>
      <c r="R5" s="16"/>
      <c r="S5" s="16"/>
      <c r="T5" s="16"/>
      <c r="U5" s="16"/>
      <c r="V5" s="16"/>
      <c r="W5" s="16"/>
    </row>
    <row r="6" spans="1:23" x14ac:dyDescent="0.3">
      <c r="A6" s="3"/>
      <c r="B6" s="3"/>
      <c r="C6" s="3"/>
      <c r="D6" s="3"/>
      <c r="E6" s="3"/>
      <c r="F6" s="3"/>
      <c r="G6" s="3"/>
      <c r="H6" s="3"/>
      <c r="I6" s="3"/>
      <c r="J6" s="3"/>
      <c r="K6" s="3"/>
      <c r="L6" s="3"/>
      <c r="M6" s="3"/>
      <c r="N6" s="3"/>
      <c r="O6" s="16"/>
      <c r="P6" s="16"/>
      <c r="Q6" s="16"/>
      <c r="R6" s="16"/>
      <c r="S6" s="16"/>
      <c r="T6" s="16"/>
      <c r="U6" s="16"/>
      <c r="V6" s="16"/>
      <c r="W6" s="16"/>
    </row>
    <row r="7" spans="1:23" x14ac:dyDescent="0.3">
      <c r="A7" s="3"/>
      <c r="B7" s="237">
        <f>A7+1</f>
        <v>1</v>
      </c>
      <c r="C7" s="237">
        <f t="shared" ref="C7:L7" si="0">B7+1</f>
        <v>2</v>
      </c>
      <c r="D7" s="237">
        <f t="shared" si="0"/>
        <v>3</v>
      </c>
      <c r="E7" s="237">
        <f t="shared" si="0"/>
        <v>4</v>
      </c>
      <c r="F7" s="237">
        <f t="shared" si="0"/>
        <v>5</v>
      </c>
      <c r="G7" s="237">
        <f t="shared" si="0"/>
        <v>6</v>
      </c>
      <c r="H7" s="237">
        <f t="shared" si="0"/>
        <v>7</v>
      </c>
      <c r="I7" s="237">
        <f t="shared" si="0"/>
        <v>8</v>
      </c>
      <c r="J7" s="237">
        <f t="shared" si="0"/>
        <v>9</v>
      </c>
      <c r="K7" s="237">
        <f t="shared" si="0"/>
        <v>10</v>
      </c>
      <c r="L7" s="237">
        <f t="shared" si="0"/>
        <v>11</v>
      </c>
      <c r="M7" s="237"/>
      <c r="N7" s="15"/>
      <c r="O7" s="16"/>
      <c r="P7" s="16"/>
      <c r="Q7" s="16"/>
      <c r="R7" s="16"/>
      <c r="S7" s="16"/>
      <c r="T7" s="16"/>
      <c r="U7" s="16"/>
      <c r="V7" s="16"/>
      <c r="W7" s="16"/>
    </row>
    <row r="8" spans="1:23" x14ac:dyDescent="0.3">
      <c r="A8" s="8" t="s">
        <v>226</v>
      </c>
      <c r="B8" s="10"/>
      <c r="C8" s="10"/>
      <c r="D8" s="10"/>
      <c r="E8" s="10"/>
      <c r="F8" s="10"/>
      <c r="G8" s="10"/>
      <c r="H8" s="10"/>
      <c r="I8" s="10"/>
      <c r="J8" s="10"/>
      <c r="K8" s="10"/>
      <c r="L8" s="10"/>
      <c r="M8" s="10"/>
      <c r="N8" s="10"/>
    </row>
    <row r="9" spans="1:23" x14ac:dyDescent="0.3">
      <c r="A9" s="85" t="s">
        <v>481</v>
      </c>
      <c r="B9" s="33"/>
      <c r="C9" s="33"/>
      <c r="D9" s="34"/>
      <c r="E9" s="34"/>
      <c r="F9" s="33"/>
      <c r="G9" s="33"/>
      <c r="H9" s="33"/>
      <c r="I9" s="33"/>
      <c r="J9" s="33"/>
      <c r="K9" s="33"/>
      <c r="L9" s="33"/>
      <c r="M9" s="35">
        <f>SUMIFS('Interim Operational Data'!$B9:$XFD9,'Interim Operational Data'!$B$3:$XFD$3,"&lt;="&amp;'Annual Operational Data'!M$3,'Interim Operational Data'!$B$3:$XFD$3, "&gt;="&amp;('Annual Operational Data'!M$3- 364))</f>
        <v>0</v>
      </c>
      <c r="N9" s="70"/>
    </row>
    <row r="10" spans="1:23" x14ac:dyDescent="0.3">
      <c r="A10" s="85" t="s">
        <v>482</v>
      </c>
      <c r="B10" s="316">
        <v>178</v>
      </c>
      <c r="C10" s="316">
        <v>180</v>
      </c>
      <c r="D10" s="316">
        <v>178</v>
      </c>
      <c r="E10" s="316">
        <v>181</v>
      </c>
      <c r="F10" s="316">
        <v>186</v>
      </c>
      <c r="G10" s="316">
        <v>193</v>
      </c>
      <c r="H10" s="316">
        <v>206</v>
      </c>
      <c r="I10" s="316">
        <v>217</v>
      </c>
      <c r="J10" s="33"/>
      <c r="K10" s="33"/>
      <c r="L10" s="33"/>
      <c r="M10" s="35">
        <f>SUMIFS('Interim Operational Data'!$B10:$XFD10,'Interim Operational Data'!$B$3:$XFD$3,"&lt;="&amp;'Annual Operational Data'!M$3,'Interim Operational Data'!$B$3:$XFD$3, "&gt;="&amp;('Annual Operational Data'!M$3- 364))</f>
        <v>0</v>
      </c>
      <c r="N10" s="70"/>
    </row>
    <row r="11" spans="1:23" x14ac:dyDescent="0.3">
      <c r="A11" s="85" t="s">
        <v>227</v>
      </c>
      <c r="B11" s="35"/>
      <c r="C11" s="35"/>
      <c r="D11" s="35"/>
      <c r="E11" s="35"/>
      <c r="F11" s="35"/>
      <c r="G11" s="35"/>
      <c r="H11" s="35"/>
      <c r="I11" s="35"/>
      <c r="J11" s="35"/>
      <c r="K11" s="35"/>
      <c r="L11" s="35"/>
      <c r="M11" s="35">
        <f>SUMIFS('Interim Operational Data'!$B11:$XFD11,'Interim Operational Data'!$B$3:$XFD$3,"&lt;="&amp;'Annual Operational Data'!M$3,'Interim Operational Data'!$B$3:$XFD$3, "&gt;="&amp;('Annual Operational Data'!M$3- 364))</f>
        <v>0</v>
      </c>
      <c r="N11" s="70"/>
    </row>
    <row r="12" spans="1:23" x14ac:dyDescent="0.3">
      <c r="A12" s="85" t="s">
        <v>619</v>
      </c>
      <c r="B12" s="35">
        <v>536550</v>
      </c>
      <c r="C12" s="35">
        <v>549690</v>
      </c>
      <c r="D12" s="35">
        <v>554800</v>
      </c>
      <c r="E12" s="35">
        <v>546770</v>
      </c>
      <c r="F12" s="35">
        <v>554435</v>
      </c>
      <c r="G12" s="35">
        <v>576335</v>
      </c>
      <c r="H12" s="35">
        <v>573050</v>
      </c>
      <c r="I12" s="35">
        <v>584730</v>
      </c>
      <c r="J12" s="35">
        <v>578900</v>
      </c>
      <c r="K12" s="35">
        <v>548500</v>
      </c>
      <c r="L12" s="35">
        <v>191500</v>
      </c>
      <c r="M12" s="35">
        <f>SUMIFS('Interim Operational Data'!$B14:$XFD14,'Interim Operational Data'!$B$3:$XFD$3,"&lt;="&amp;'Annual Operational Data'!M$3,'Interim Operational Data'!$B$3:$XFD$3, "&gt;="&amp;('Annual Operational Data'!M$3- 364))</f>
        <v>55700</v>
      </c>
      <c r="N12" s="70"/>
    </row>
    <row r="13" spans="1:23" x14ac:dyDescent="0.3">
      <c r="A13" s="85" t="s">
        <v>428</v>
      </c>
      <c r="B13" s="53">
        <f>B12/(B3-A3)</f>
        <v>1470</v>
      </c>
      <c r="C13" s="53">
        <f t="shared" ref="C13:L13" si="1">C12/(C3-B3)</f>
        <v>1506</v>
      </c>
      <c r="D13" s="53">
        <f t="shared" si="1"/>
        <v>1515.8469945355191</v>
      </c>
      <c r="E13" s="53">
        <f t="shared" si="1"/>
        <v>1498</v>
      </c>
      <c r="F13" s="53">
        <f t="shared" si="1"/>
        <v>1519</v>
      </c>
      <c r="G13" s="53">
        <f t="shared" si="1"/>
        <v>1579</v>
      </c>
      <c r="H13" s="53">
        <f t="shared" si="1"/>
        <v>1565.7103825136612</v>
      </c>
      <c r="I13" s="53">
        <f t="shared" si="1"/>
        <v>1602</v>
      </c>
      <c r="J13" s="53">
        <f t="shared" si="1"/>
        <v>1586.027397260274</v>
      </c>
      <c r="K13" s="53">
        <f t="shared" si="1"/>
        <v>1502.7397260273972</v>
      </c>
      <c r="L13" s="53">
        <f t="shared" si="1"/>
        <v>523.22404371584696</v>
      </c>
      <c r="M13" s="53">
        <f>M12/(M3-J3)</f>
        <v>55.47808764940239</v>
      </c>
      <c r="N13" s="70"/>
    </row>
    <row r="14" spans="1:23" x14ac:dyDescent="0.3">
      <c r="A14" s="17" t="s">
        <v>228</v>
      </c>
      <c r="B14" s="33">
        <v>23300</v>
      </c>
      <c r="C14" s="33">
        <v>23700</v>
      </c>
      <c r="D14" s="33">
        <v>24000</v>
      </c>
      <c r="E14" s="33">
        <v>24500</v>
      </c>
      <c r="F14" s="33">
        <v>24400</v>
      </c>
      <c r="G14" s="33">
        <v>24900</v>
      </c>
      <c r="H14" s="33">
        <v>26100</v>
      </c>
      <c r="I14" s="33">
        <v>27800</v>
      </c>
      <c r="J14" s="33">
        <v>29900</v>
      </c>
      <c r="K14" s="33">
        <v>32900</v>
      </c>
      <c r="L14" s="33">
        <v>21100</v>
      </c>
      <c r="M14" s="35">
        <f>SUMIFS('Interim Operational Data'!$B16:$XFD16,'Interim Operational Data'!$B$3:$XFD$3,"&lt;="&amp;'Annual Operational Data'!M$3,'Interim Operational Data'!$B$3:$XFD$3, "&gt;="&amp;('Annual Operational Data'!M$3- 364))</f>
        <v>70850</v>
      </c>
      <c r="N14" s="53"/>
    </row>
    <row r="15" spans="1:23" x14ac:dyDescent="0.3">
      <c r="A15" s="17" t="s">
        <v>0</v>
      </c>
      <c r="B15" s="2"/>
      <c r="C15" s="2">
        <f t="shared" ref="C15:L15" si="2">IFERROR((C14/B14)-1, "N/A")</f>
        <v>1.716738197424883E-2</v>
      </c>
      <c r="D15" s="2">
        <f t="shared" si="2"/>
        <v>1.2658227848101333E-2</v>
      </c>
      <c r="E15" s="2">
        <f t="shared" si="2"/>
        <v>2.0833333333333259E-2</v>
      </c>
      <c r="F15" s="2">
        <f t="shared" si="2"/>
        <v>-4.0816326530612734E-3</v>
      </c>
      <c r="G15" s="2">
        <f t="shared" si="2"/>
        <v>2.0491803278688492E-2</v>
      </c>
      <c r="H15" s="2">
        <f t="shared" si="2"/>
        <v>4.8192771084337283E-2</v>
      </c>
      <c r="I15" s="2">
        <f t="shared" si="2"/>
        <v>6.5134099616858343E-2</v>
      </c>
      <c r="J15" s="2">
        <f t="shared" si="2"/>
        <v>7.5539568345323715E-2</v>
      </c>
      <c r="K15" s="2">
        <f t="shared" si="2"/>
        <v>0.10033444816053505</v>
      </c>
      <c r="L15" s="2">
        <f t="shared" si="2"/>
        <v>-0.35866261398176291</v>
      </c>
      <c r="M15" s="2">
        <f>IFERROR((M14/L14)-1, "N/A")</f>
        <v>2.3578199052132702</v>
      </c>
      <c r="N15" s="71"/>
    </row>
    <row r="16" spans="1:23" x14ac:dyDescent="0.3">
      <c r="A16" s="17" t="s">
        <v>229</v>
      </c>
      <c r="B16" s="53"/>
      <c r="C16" s="53">
        <f>IFERROR(AVERAGE(B14:C14),"")</f>
        <v>23500</v>
      </c>
      <c r="D16" s="53">
        <f t="shared" ref="D16:L16" si="3">IFERROR(AVERAGE(C14:D14),"")</f>
        <v>23850</v>
      </c>
      <c r="E16" s="53">
        <f t="shared" si="3"/>
        <v>24250</v>
      </c>
      <c r="F16" s="53">
        <f t="shared" si="3"/>
        <v>24450</v>
      </c>
      <c r="G16" s="53">
        <f t="shared" si="3"/>
        <v>24650</v>
      </c>
      <c r="H16" s="53">
        <f t="shared" si="3"/>
        <v>25500</v>
      </c>
      <c r="I16" s="53">
        <f t="shared" si="3"/>
        <v>26950</v>
      </c>
      <c r="J16" s="53">
        <f t="shared" si="3"/>
        <v>28850</v>
      </c>
      <c r="K16" s="53">
        <f t="shared" si="3"/>
        <v>31400</v>
      </c>
      <c r="L16" s="53">
        <f t="shared" si="3"/>
        <v>27000</v>
      </c>
      <c r="M16" s="53">
        <f>IFERROR(AVERAGE(J14:M14),"")</f>
        <v>38687.5</v>
      </c>
      <c r="N16" s="53"/>
    </row>
    <row r="17" spans="1:16" x14ac:dyDescent="0.3">
      <c r="A17" s="17" t="s">
        <v>0</v>
      </c>
      <c r="B17" s="2"/>
      <c r="C17" s="2" t="str">
        <f t="shared" ref="C17:L17" si="4">IFERROR((C16/B16)-1, "N/A")</f>
        <v>N/A</v>
      </c>
      <c r="D17" s="2">
        <f t="shared" si="4"/>
        <v>1.4893617021276562E-2</v>
      </c>
      <c r="E17" s="2">
        <f t="shared" si="4"/>
        <v>1.6771488469601747E-2</v>
      </c>
      <c r="F17" s="2">
        <f t="shared" si="4"/>
        <v>8.2474226804123418E-3</v>
      </c>
      <c r="G17" s="2">
        <f t="shared" si="4"/>
        <v>8.1799591002045258E-3</v>
      </c>
      <c r="H17" s="2">
        <f t="shared" si="4"/>
        <v>3.4482758620689724E-2</v>
      </c>
      <c r="I17" s="2">
        <f t="shared" si="4"/>
        <v>5.6862745098039236E-2</v>
      </c>
      <c r="J17" s="2">
        <f t="shared" si="4"/>
        <v>7.0500927643784683E-2</v>
      </c>
      <c r="K17" s="2">
        <f t="shared" si="4"/>
        <v>8.8388214904679296E-2</v>
      </c>
      <c r="L17" s="2">
        <f t="shared" si="4"/>
        <v>-0.14012738853503182</v>
      </c>
      <c r="M17" s="2">
        <f>IFERROR((M16/L16)-1, "N/A")</f>
        <v>0.43287037037037046</v>
      </c>
      <c r="N17" s="71"/>
    </row>
    <row r="18" spans="1:16" x14ac:dyDescent="0.3">
      <c r="A18" s="17" t="s">
        <v>230</v>
      </c>
      <c r="B18" s="35">
        <v>328</v>
      </c>
      <c r="C18" s="35">
        <v>352</v>
      </c>
      <c r="D18" s="35">
        <v>351</v>
      </c>
      <c r="E18" s="35">
        <v>352</v>
      </c>
      <c r="F18" s="35">
        <v>364</v>
      </c>
      <c r="G18" s="35">
        <v>370</v>
      </c>
      <c r="H18" s="35">
        <v>381</v>
      </c>
      <c r="I18" s="35">
        <v>395</v>
      </c>
      <c r="J18" s="35">
        <v>400</v>
      </c>
      <c r="K18" s="35">
        <v>403</v>
      </c>
      <c r="L18" s="35">
        <f>169+39+136</f>
        <v>344</v>
      </c>
      <c r="M18" s="35">
        <f>SUMIFS('Interim Operational Data'!$B18:$XFD18,'Interim Operational Data'!$B$3:$XFD$3, "="&amp;'Annual Operational Data'!M$3)</f>
        <v>337</v>
      </c>
      <c r="N18" s="72"/>
    </row>
    <row r="19" spans="1:16" x14ac:dyDescent="0.3">
      <c r="A19" s="17" t="s">
        <v>231</v>
      </c>
      <c r="B19" s="34"/>
      <c r="C19" s="34"/>
      <c r="D19" s="34"/>
      <c r="E19" s="34"/>
      <c r="F19" s="34"/>
      <c r="G19" s="34"/>
      <c r="H19" s="34"/>
      <c r="I19" s="34"/>
      <c r="J19" s="34"/>
      <c r="K19" s="34"/>
      <c r="L19" s="34"/>
      <c r="M19" s="35">
        <f>SUMIFS('Interim Operational Data'!$B19:$XFD19,'Interim Operational Data'!$B$3:$XFD$3, "="&amp;'Annual Operational Data'!M$3)</f>
        <v>0</v>
      </c>
      <c r="N19" s="70"/>
    </row>
    <row r="20" spans="1:16" x14ac:dyDescent="0.3">
      <c r="A20" s="17" t="s">
        <v>232</v>
      </c>
      <c r="B20" s="34">
        <v>9.8000000000000007</v>
      </c>
      <c r="C20" s="34">
        <v>10.1</v>
      </c>
      <c r="D20" s="34">
        <v>10.1</v>
      </c>
      <c r="E20" s="34">
        <v>10</v>
      </c>
      <c r="F20" s="34">
        <v>9.9</v>
      </c>
      <c r="G20" s="34">
        <v>10</v>
      </c>
      <c r="H20" s="34">
        <v>10.199999999999999</v>
      </c>
      <c r="I20" s="34">
        <v>10.4</v>
      </c>
      <c r="J20" s="34">
        <v>10.4</v>
      </c>
      <c r="K20" s="34">
        <v>10.6</v>
      </c>
      <c r="L20" s="34"/>
      <c r="M20" s="35">
        <f>SUMIFS('Interim Operational Data'!$B20:$XFD20,'Interim Operational Data'!$B$3:$XFD$3, "="&amp;'Annual Operational Data'!M$3)</f>
        <v>0</v>
      </c>
      <c r="N20" s="70"/>
    </row>
    <row r="21" spans="1:16" x14ac:dyDescent="0.3">
      <c r="A21" s="17" t="s">
        <v>0</v>
      </c>
      <c r="B21" s="2"/>
      <c r="C21" s="2">
        <f t="shared" ref="C21:K21" si="5">IFERROR((C20/B20)-1, "N/A")</f>
        <v>3.0612244897959107E-2</v>
      </c>
      <c r="D21" s="2">
        <f t="shared" si="5"/>
        <v>0</v>
      </c>
      <c r="E21" s="2">
        <f t="shared" si="5"/>
        <v>-9.9009900990099098E-3</v>
      </c>
      <c r="F21" s="2">
        <f t="shared" si="5"/>
        <v>-1.0000000000000009E-2</v>
      </c>
      <c r="G21" s="2">
        <f t="shared" si="5"/>
        <v>1.0101010101010166E-2</v>
      </c>
      <c r="H21" s="2">
        <f t="shared" si="5"/>
        <v>2.0000000000000018E-2</v>
      </c>
      <c r="I21" s="2">
        <f t="shared" si="5"/>
        <v>1.9607843137255054E-2</v>
      </c>
      <c r="J21" s="2">
        <f t="shared" si="5"/>
        <v>0</v>
      </c>
      <c r="K21" s="2">
        <f t="shared" si="5"/>
        <v>1.9230769230769162E-2</v>
      </c>
      <c r="L21" s="2">
        <f>IFERROR((L20/K20)-1, "N/A")</f>
        <v>-1</v>
      </c>
      <c r="M21" s="2" t="str">
        <f>IFERROR((M20/L20)-1, "N/A")</f>
        <v>N/A</v>
      </c>
      <c r="N21" s="71"/>
    </row>
    <row r="22" spans="1:16" x14ac:dyDescent="0.3">
      <c r="A22" s="17" t="s">
        <v>233</v>
      </c>
      <c r="B22" s="33"/>
      <c r="C22" s="33">
        <f>IFERROR(C20*(AVERAGE(B18:C18))*(C3-B3),"")</f>
        <v>1253410</v>
      </c>
      <c r="D22" s="33">
        <f t="shared" ref="D22:H22" si="6">IFERROR(D20*(AVERAGE(C18:D18))*(D3-C3),"")</f>
        <v>1299354.9000000001</v>
      </c>
      <c r="E22" s="33">
        <f t="shared" si="6"/>
        <v>1282975</v>
      </c>
      <c r="F22" s="33">
        <f t="shared" si="6"/>
        <v>1293633</v>
      </c>
      <c r="G22" s="33">
        <f t="shared" si="6"/>
        <v>1339550</v>
      </c>
      <c r="H22" s="33">
        <f t="shared" si="6"/>
        <v>1401816.5999999999</v>
      </c>
      <c r="I22" s="33">
        <f>IFERROR(I20*(AVERAGE(H18:I18))*(I3-H3),"")</f>
        <v>1472848</v>
      </c>
      <c r="J22" s="33">
        <f>IFERROR(J20*(AVERAGE(I18:J18))*(J3-I3),"")</f>
        <v>1508910</v>
      </c>
      <c r="K22" s="33"/>
      <c r="L22" s="33"/>
      <c r="M22" s="33">
        <f>SUMIFS('Interim Operational Data'!$B22:$XFD22,'Interim Operational Data'!$B$3:$XFD$3,"&lt;="&amp;'Annual Operational Data'!M$3,'Interim Operational Data'!$B$3:$XFD$3, "&gt;="&amp;('Annual Operational Data'!M$3- 364))</f>
        <v>0</v>
      </c>
      <c r="N22" s="53"/>
    </row>
    <row r="23" spans="1:16" x14ac:dyDescent="0.3">
      <c r="A23" s="17" t="s">
        <v>0</v>
      </c>
      <c r="B23" s="5"/>
      <c r="C23" s="2" t="str">
        <f t="shared" ref="C23:L23" si="7">IFERROR((C22/B22)-1, "N/A")</f>
        <v>N/A</v>
      </c>
      <c r="D23" s="2">
        <f t="shared" si="7"/>
        <v>3.6655922643029859E-2</v>
      </c>
      <c r="E23" s="2">
        <f t="shared" si="7"/>
        <v>-1.2606178650652056E-2</v>
      </c>
      <c r="F23" s="2">
        <f t="shared" si="7"/>
        <v>8.3072546230440469E-3</v>
      </c>
      <c r="G23" s="2">
        <f t="shared" si="7"/>
        <v>3.5494610913605396E-2</v>
      </c>
      <c r="H23" s="2">
        <f t="shared" si="7"/>
        <v>4.6483221977529743E-2</v>
      </c>
      <c r="I23" s="2">
        <f t="shared" si="7"/>
        <v>5.0670965089156583E-2</v>
      </c>
      <c r="J23" s="2">
        <f t="shared" si="7"/>
        <v>2.448453608247414E-2</v>
      </c>
      <c r="K23" s="2">
        <f t="shared" si="7"/>
        <v>-1</v>
      </c>
      <c r="L23" s="2" t="str">
        <f t="shared" si="7"/>
        <v>N/A</v>
      </c>
      <c r="M23" s="2">
        <f>IFERROR((M22/H22)-1, "N/A")</f>
        <v>-1</v>
      </c>
      <c r="N23" s="71"/>
    </row>
    <row r="24" spans="1:16" x14ac:dyDescent="0.3">
      <c r="A24" s="17" t="s">
        <v>234</v>
      </c>
      <c r="B24" s="34"/>
      <c r="C24" s="33"/>
      <c r="D24" s="33"/>
      <c r="E24" s="33"/>
      <c r="F24" s="33"/>
      <c r="G24" s="33"/>
      <c r="H24" s="33"/>
      <c r="I24" s="33"/>
      <c r="J24" s="33"/>
      <c r="K24" s="33"/>
      <c r="L24" s="33"/>
      <c r="M24" s="35">
        <f>SUMIFS('Interim Operational Data'!$B24:$XFD24,'Interim Operational Data'!$B$3:$XFD$3,"&lt;="&amp;'Annual Operational Data'!M$3,'Interim Operational Data'!$B$3:$XFD$3, "&gt;="&amp;('Annual Operational Data'!M$3- 364))</f>
        <v>0</v>
      </c>
      <c r="N24" s="53"/>
    </row>
    <row r="25" spans="1:16" x14ac:dyDescent="0.3">
      <c r="A25" s="17" t="s">
        <v>235</v>
      </c>
      <c r="B25" s="33">
        <v>3791</v>
      </c>
      <c r="C25" s="33">
        <v>3937</v>
      </c>
      <c r="D25" s="33">
        <v>3976</v>
      </c>
      <c r="E25" s="33">
        <v>3993</v>
      </c>
      <c r="F25" s="33">
        <v>4213</v>
      </c>
      <c r="G25" s="33">
        <v>4478</v>
      </c>
      <c r="H25" s="33">
        <v>4837</v>
      </c>
      <c r="I25" s="33">
        <v>5331.8879999999999</v>
      </c>
      <c r="J25" s="33">
        <v>5597.232</v>
      </c>
      <c r="K25" s="33">
        <v>5713.924</v>
      </c>
      <c r="L25" s="33">
        <v>2153.7640000000001</v>
      </c>
      <c r="M25" s="35">
        <f>SUMIFS('Interim Operational Data'!$B25:$XFD25,'Interim Operational Data'!$B$3:$XFD$3,"&lt;="&amp;'Annual Operational Data'!M$3,'Interim Operational Data'!$B$3:$XFD$3, "&gt;="&amp;('Annual Operational Data'!M$3- 364))</f>
        <v>1688.7669999999998</v>
      </c>
      <c r="N25" s="53"/>
      <c r="P25" s="260"/>
    </row>
    <row r="26" spans="1:16" x14ac:dyDescent="0.3">
      <c r="A26" s="17" t="s">
        <v>236</v>
      </c>
      <c r="B26" s="34"/>
      <c r="C26" s="33"/>
      <c r="D26" s="33"/>
      <c r="E26" s="33"/>
      <c r="F26" s="33"/>
      <c r="G26" s="33"/>
      <c r="H26" s="33"/>
      <c r="I26" s="33"/>
      <c r="J26" s="33"/>
      <c r="K26" s="33"/>
      <c r="L26" s="33"/>
      <c r="M26" s="35">
        <f>SUMIFS('Interim Operational Data'!$B26:$XFD26,'Interim Operational Data'!$B$3:$XFD$3,"&lt;="&amp;'Annual Operational Data'!M$3,'Interim Operational Data'!$B$3:$XFD$3, "&gt;="&amp;('Annual Operational Data'!M$3- 364))</f>
        <v>0</v>
      </c>
      <c r="N26" s="53"/>
    </row>
    <row r="27" spans="1:16" x14ac:dyDescent="0.3">
      <c r="A27" s="17" t="s">
        <v>46</v>
      </c>
      <c r="B27" s="33"/>
      <c r="C27" s="33">
        <v>33900</v>
      </c>
      <c r="D27" s="33">
        <v>34900</v>
      </c>
      <c r="E27" s="33">
        <v>35761</v>
      </c>
      <c r="F27" s="33">
        <v>38526</v>
      </c>
      <c r="G27" s="33">
        <v>41126</v>
      </c>
      <c r="H27" s="33">
        <v>44849</v>
      </c>
      <c r="I27" s="33">
        <v>48126</v>
      </c>
      <c r="J27" s="33">
        <v>50904</v>
      </c>
      <c r="K27" s="33">
        <v>51543</v>
      </c>
      <c r="L27" s="33">
        <v>13760</v>
      </c>
      <c r="M27" s="35">
        <f>SUMIFS('Interim Operational Data'!$B27:$XFD27,'Interim Operational Data'!$B$3:$XFD$3,"&lt;="&amp;'Annual Operational Data'!M$3,'Interim Operational Data'!$B$3:$XFD$3, "&gt;="&amp;('Annual Operational Data'!M$3- 364))</f>
        <v>8981</v>
      </c>
      <c r="N27" s="53"/>
    </row>
    <row r="28" spans="1:16" x14ac:dyDescent="0.3">
      <c r="A28" s="17" t="s">
        <v>0</v>
      </c>
      <c r="B28" s="2"/>
      <c r="C28" s="2" t="str">
        <f t="shared" ref="C28:L28" si="8">IFERROR((C27/B27)-1, "N/A")</f>
        <v>N/A</v>
      </c>
      <c r="D28" s="2">
        <f t="shared" si="8"/>
        <v>2.9498525073746285E-2</v>
      </c>
      <c r="E28" s="2">
        <f t="shared" si="8"/>
        <v>2.4670487106017269E-2</v>
      </c>
      <c r="F28" s="2">
        <f t="shared" si="8"/>
        <v>7.731886692206591E-2</v>
      </c>
      <c r="G28" s="2">
        <f t="shared" si="8"/>
        <v>6.7486891969059881E-2</v>
      </c>
      <c r="H28" s="2">
        <f t="shared" si="8"/>
        <v>9.0526674123425632E-2</v>
      </c>
      <c r="I28" s="2">
        <f t="shared" si="8"/>
        <v>7.3067403955495047E-2</v>
      </c>
      <c r="J28" s="2">
        <f t="shared" si="8"/>
        <v>5.7723475875826047E-2</v>
      </c>
      <c r="K28" s="2">
        <f t="shared" si="8"/>
        <v>1.2553041018387612E-2</v>
      </c>
      <c r="L28" s="2">
        <f t="shared" si="8"/>
        <v>-0.73303843392895252</v>
      </c>
      <c r="M28" s="2">
        <f>IFERROR((M27/L27)-1, "N/A")</f>
        <v>-0.34731104651162792</v>
      </c>
      <c r="N28" s="71"/>
    </row>
    <row r="29" spans="1:16" x14ac:dyDescent="0.3">
      <c r="A29" s="17" t="s">
        <v>421</v>
      </c>
      <c r="B29" s="33">
        <v>868</v>
      </c>
      <c r="C29" s="33">
        <v>891</v>
      </c>
      <c r="D29" s="33">
        <v>892</v>
      </c>
      <c r="E29" s="33">
        <v>1464</v>
      </c>
      <c r="F29" s="33">
        <v>1497</v>
      </c>
      <c r="G29" s="33">
        <v>1545</v>
      </c>
      <c r="H29" s="33">
        <v>1623</v>
      </c>
      <c r="I29" s="33">
        <v>1702</v>
      </c>
      <c r="J29" s="33">
        <v>1738</v>
      </c>
      <c r="K29" s="33">
        <v>1745</v>
      </c>
      <c r="L29" s="33">
        <v>1655</v>
      </c>
      <c r="M29" s="33"/>
      <c r="N29" s="53"/>
    </row>
    <row r="30" spans="1:16" x14ac:dyDescent="0.3">
      <c r="A30" s="8" t="s">
        <v>237</v>
      </c>
      <c r="B30" s="10"/>
      <c r="C30" s="10"/>
      <c r="D30" s="10"/>
      <c r="E30" s="10"/>
      <c r="F30" s="10"/>
      <c r="G30" s="10"/>
      <c r="H30" s="10"/>
      <c r="I30" s="10"/>
      <c r="J30" s="10"/>
      <c r="K30" s="10"/>
      <c r="L30" s="10"/>
      <c r="M30" s="10"/>
      <c r="N30" s="10"/>
    </row>
    <row r="31" spans="1:16" x14ac:dyDescent="0.3">
      <c r="A31" s="17" t="str">
        <f>IF(Inputs!$E$10 = "Miles", "RPMs", "RPKs")</f>
        <v>RPMs</v>
      </c>
      <c r="B31" s="33">
        <v>51875</v>
      </c>
      <c r="C31" s="33">
        <v>54223</v>
      </c>
      <c r="D31" s="33">
        <v>55646</v>
      </c>
      <c r="E31" s="33">
        <v>56791</v>
      </c>
      <c r="F31" s="33">
        <v>61616</v>
      </c>
      <c r="G31" s="33">
        <v>67545</v>
      </c>
      <c r="H31" s="33">
        <v>76481</v>
      </c>
      <c r="I31" s="33">
        <v>85137</v>
      </c>
      <c r="J31" s="33">
        <v>92360</v>
      </c>
      <c r="K31" s="33">
        <v>94113</v>
      </c>
      <c r="L31" s="33">
        <v>23239</v>
      </c>
      <c r="M31" s="35">
        <f>SUMIFS('Interim Operational Data'!$B31:$XFD31,'Interim Operational Data'!$B$3:$XFD$3,"&lt;="&amp;'Annual Operational Data'!M$3,'Interim Operational Data'!$B$3:$XFD$3, "&gt;="&amp;('Annual Operational Data'!M$3- 364))</f>
        <v>13865</v>
      </c>
      <c r="N31" s="53"/>
      <c r="P31" s="260"/>
    </row>
    <row r="32" spans="1:16" x14ac:dyDescent="0.3">
      <c r="A32" s="17" t="s">
        <v>0</v>
      </c>
      <c r="B32" s="2"/>
      <c r="C32" s="2">
        <f>IFERROR((C31/B31)-1,"")</f>
        <v>4.5262650602409638E-2</v>
      </c>
      <c r="D32" s="2">
        <f t="shared" ref="D32:L32" si="9">IFERROR((D31/C31)-1,"")</f>
        <v>2.6243476015712863E-2</v>
      </c>
      <c r="E32" s="2">
        <f t="shared" si="9"/>
        <v>2.0576501455630281E-2</v>
      </c>
      <c r="F32" s="2">
        <f t="shared" si="9"/>
        <v>8.4960645172650562E-2</v>
      </c>
      <c r="G32" s="2">
        <f t="shared" si="9"/>
        <v>9.6225006491820197E-2</v>
      </c>
      <c r="H32" s="2">
        <f t="shared" si="9"/>
        <v>0.13229698719372274</v>
      </c>
      <c r="I32" s="2">
        <f t="shared" si="9"/>
        <v>0.11317843647441839</v>
      </c>
      <c r="J32" s="2">
        <f t="shared" si="9"/>
        <v>8.4839728907525558E-2</v>
      </c>
      <c r="K32" s="2">
        <f t="shared" si="9"/>
        <v>1.8980077955825125E-2</v>
      </c>
      <c r="L32" s="2">
        <f t="shared" si="9"/>
        <v>-0.75307343300075447</v>
      </c>
      <c r="M32" s="2">
        <f>IFERROR((M31/L31)-1,"")</f>
        <v>-0.40337363914109903</v>
      </c>
      <c r="N32" s="2"/>
    </row>
    <row r="33" spans="1:16" x14ac:dyDescent="0.3">
      <c r="A33" s="85" t="str">
        <f>IF(Inputs!$E$10 = "Miles", "ASMs", "ASKs")</f>
        <v>ASMs</v>
      </c>
      <c r="B33" s="33">
        <v>63496</v>
      </c>
      <c r="C33" s="33">
        <v>66460</v>
      </c>
      <c r="D33" s="33">
        <v>67269</v>
      </c>
      <c r="E33" s="33">
        <v>68573</v>
      </c>
      <c r="F33" s="33">
        <v>73889</v>
      </c>
      <c r="G33" s="33">
        <v>80871</v>
      </c>
      <c r="H33" s="33">
        <v>92726</v>
      </c>
      <c r="I33" s="33">
        <v>103492</v>
      </c>
      <c r="J33" s="33">
        <v>110866</v>
      </c>
      <c r="K33" s="33">
        <v>112814</v>
      </c>
      <c r="L33" s="33">
        <v>37703</v>
      </c>
      <c r="M33" s="35">
        <f>SUMIFS('Interim Operational Data'!$B33:$XFD33,'Interim Operational Data'!$B$3:$XFD$3,"&lt;="&amp;'Annual Operational Data'!M$3,'Interim Operational Data'!$B$3:$XFD$3, "&gt;="&amp;('Annual Operational Data'!M$3- 364))</f>
        <v>25327</v>
      </c>
      <c r="N33" s="53"/>
      <c r="P33" s="260"/>
    </row>
    <row r="34" spans="1:16" x14ac:dyDescent="0.3">
      <c r="A34" s="17" t="s">
        <v>0</v>
      </c>
      <c r="B34" s="2"/>
      <c r="C34" s="2">
        <f>IFERROR((C33/B33)-1,"")</f>
        <v>4.668010583343829E-2</v>
      </c>
      <c r="D34" s="2">
        <f t="shared" ref="D34:L34" si="10">IFERROR((D33/C33)-1,"")</f>
        <v>1.2172735479987873E-2</v>
      </c>
      <c r="E34" s="2">
        <f t="shared" si="10"/>
        <v>1.9384857809689349E-2</v>
      </c>
      <c r="F34" s="2">
        <f t="shared" si="10"/>
        <v>7.7523223426129828E-2</v>
      </c>
      <c r="G34" s="2">
        <f t="shared" si="10"/>
        <v>9.4493090987833206E-2</v>
      </c>
      <c r="H34" s="2">
        <f t="shared" si="10"/>
        <v>0.14659148520483245</v>
      </c>
      <c r="I34" s="2">
        <f t="shared" si="10"/>
        <v>0.11610551517373757</v>
      </c>
      <c r="J34" s="2">
        <f t="shared" si="10"/>
        <v>7.1251884203609839E-2</v>
      </c>
      <c r="K34" s="2">
        <f t="shared" si="10"/>
        <v>1.7570761098984367E-2</v>
      </c>
      <c r="L34" s="2">
        <f t="shared" si="10"/>
        <v>-0.66579502544010494</v>
      </c>
      <c r="M34" s="2">
        <f>IFERROR((M33/L33)-1,"")</f>
        <v>-0.32824974139988861</v>
      </c>
      <c r="N34" s="2"/>
    </row>
    <row r="35" spans="1:16" x14ac:dyDescent="0.3">
      <c r="A35" s="17" t="s">
        <v>45</v>
      </c>
      <c r="B35" s="2">
        <f>IFERROR(B31/B33,"")</f>
        <v>0.81698059720297345</v>
      </c>
      <c r="C35" s="2">
        <f t="shared" ref="C35:M35" si="11">IFERROR(C31/C33,"")</f>
        <v>0.81587421005115857</v>
      </c>
      <c r="D35" s="2">
        <f t="shared" si="11"/>
        <v>0.82721610251378797</v>
      </c>
      <c r="E35" s="2">
        <f t="shared" si="11"/>
        <v>0.82818310413719687</v>
      </c>
      <c r="F35" s="2">
        <f t="shared" si="11"/>
        <v>0.83389949789549189</v>
      </c>
      <c r="G35" s="2">
        <f t="shared" si="11"/>
        <v>0.83521905256519646</v>
      </c>
      <c r="H35" s="2">
        <f t="shared" si="11"/>
        <v>0.82480641891163209</v>
      </c>
      <c r="I35" s="2">
        <f t="shared" ref="I35:J35" si="12">IFERROR(I31/I33,"")</f>
        <v>0.82264329610018161</v>
      </c>
      <c r="J35" s="2">
        <f t="shared" si="12"/>
        <v>0.83307776955964863</v>
      </c>
      <c r="K35" s="2">
        <f t="shared" ref="K35:L35" si="13">IFERROR(K31/K33,"")</f>
        <v>0.83423156700409529</v>
      </c>
      <c r="L35" s="2">
        <f t="shared" si="13"/>
        <v>0.61637005012863699</v>
      </c>
      <c r="M35" s="2">
        <f t="shared" si="11"/>
        <v>0.54743949145181037</v>
      </c>
      <c r="N35" s="2"/>
      <c r="P35" s="260"/>
    </row>
    <row r="36" spans="1:16" x14ac:dyDescent="0.3">
      <c r="A36" s="8" t="s">
        <v>238</v>
      </c>
      <c r="B36" s="10"/>
      <c r="C36" s="10"/>
      <c r="D36" s="10"/>
      <c r="E36" s="10"/>
      <c r="F36" s="10"/>
      <c r="G36" s="10"/>
      <c r="H36" s="235"/>
      <c r="I36" s="235"/>
      <c r="J36" s="235"/>
      <c r="K36" s="235"/>
      <c r="L36" s="235"/>
      <c r="M36" s="10"/>
      <c r="N36" s="10"/>
      <c r="P36" s="261"/>
    </row>
    <row r="37" spans="1:16" x14ac:dyDescent="0.3">
      <c r="A37" s="85" t="str">
        <f>IF(Inputs!$E$10 = "Miles", "RFTMs", "RFKMs")</f>
        <v>RFTMs</v>
      </c>
      <c r="B37" s="33"/>
      <c r="C37" s="33"/>
      <c r="D37" s="33"/>
      <c r="E37" s="33"/>
      <c r="F37" s="33"/>
      <c r="G37" s="33"/>
      <c r="H37" s="33"/>
      <c r="I37" s="33"/>
      <c r="J37" s="33"/>
      <c r="K37" s="33"/>
      <c r="L37" s="33"/>
      <c r="M37" s="35">
        <f>SUMIFS('Interim Operational Data'!$B37:$XFD37,'Interim Operational Data'!$B$3:$XFD$3,"&lt;="&amp;'Annual Operational Data'!M$3,'Interim Operational Data'!$B$3:$XFD$3, "&gt;="&amp;('Annual Operational Data'!M$3- 364))</f>
        <v>0</v>
      </c>
      <c r="N37" s="53"/>
    </row>
    <row r="38" spans="1:16" x14ac:dyDescent="0.3">
      <c r="A38" s="17" t="s">
        <v>0</v>
      </c>
      <c r="B38" s="2"/>
      <c r="C38" s="2" t="str">
        <f>IFERROR((C37/B37)-1,"")</f>
        <v/>
      </c>
      <c r="D38" s="2" t="str">
        <f t="shared" ref="D38:J38" si="14">IFERROR((D37/C37)-1,"")</f>
        <v/>
      </c>
      <c r="E38" s="2" t="str">
        <f t="shared" si="14"/>
        <v/>
      </c>
      <c r="F38" s="2" t="str">
        <f t="shared" si="14"/>
        <v/>
      </c>
      <c r="G38" s="2" t="str">
        <f t="shared" si="14"/>
        <v/>
      </c>
      <c r="H38" s="2" t="str">
        <f t="shared" si="14"/>
        <v/>
      </c>
      <c r="I38" s="2" t="str">
        <f t="shared" si="14"/>
        <v/>
      </c>
      <c r="J38" s="2" t="str">
        <f t="shared" si="14"/>
        <v/>
      </c>
      <c r="K38" s="2"/>
      <c r="L38" s="2"/>
      <c r="M38" s="2" t="str">
        <f>IFERROR((M37/H37)-1,"")</f>
        <v/>
      </c>
      <c r="N38" s="2"/>
    </row>
    <row r="39" spans="1:16" x14ac:dyDescent="0.3">
      <c r="A39" s="85" t="str">
        <f>IF(Inputs!$E$10 = "Miles", "AFTMs", "AFKMs")</f>
        <v>AFTMs</v>
      </c>
      <c r="B39" s="33"/>
      <c r="C39" s="33"/>
      <c r="D39" s="33"/>
      <c r="E39" s="33"/>
      <c r="F39" s="33"/>
      <c r="G39" s="33"/>
      <c r="H39" s="33"/>
      <c r="I39" s="33"/>
      <c r="J39" s="33"/>
      <c r="K39" s="33"/>
      <c r="L39" s="33"/>
      <c r="M39" s="35">
        <f>SUMIFS('Interim Operational Data'!$B39:$XFD39,'Interim Operational Data'!$B$3:$XFD$3,"&lt;="&amp;'Annual Operational Data'!M$3,'Interim Operational Data'!$B$3:$XFD$3, "&gt;="&amp;('Annual Operational Data'!M$3- 364))</f>
        <v>0</v>
      </c>
      <c r="N39" s="53"/>
    </row>
    <row r="40" spans="1:16" x14ac:dyDescent="0.3">
      <c r="A40" s="17" t="s">
        <v>0</v>
      </c>
      <c r="B40" s="2"/>
      <c r="C40" s="2" t="str">
        <f t="shared" ref="C40:J40" si="15">IFERROR((C39/B39)-1,"")</f>
        <v/>
      </c>
      <c r="D40" s="2" t="str">
        <f t="shared" si="15"/>
        <v/>
      </c>
      <c r="E40" s="2" t="str">
        <f t="shared" si="15"/>
        <v/>
      </c>
      <c r="F40" s="2" t="str">
        <f t="shared" si="15"/>
        <v/>
      </c>
      <c r="G40" s="2" t="str">
        <f t="shared" si="15"/>
        <v/>
      </c>
      <c r="H40" s="2" t="str">
        <f t="shared" si="15"/>
        <v/>
      </c>
      <c r="I40" s="2" t="str">
        <f t="shared" si="15"/>
        <v/>
      </c>
      <c r="J40" s="2" t="str">
        <f t="shared" si="15"/>
        <v/>
      </c>
      <c r="K40" s="2"/>
      <c r="L40" s="2"/>
      <c r="M40" s="2" t="str">
        <f>IFERROR((M39/H39)-1,"")</f>
        <v/>
      </c>
      <c r="N40" s="2"/>
    </row>
    <row r="41" spans="1:16" x14ac:dyDescent="0.3">
      <c r="A41" s="17" t="s">
        <v>239</v>
      </c>
      <c r="B41" s="2" t="str">
        <f>IFERROR(B37/B39,"")</f>
        <v/>
      </c>
      <c r="C41" s="2" t="str">
        <f t="shared" ref="C41:M41" si="16">IFERROR(C37/C39,"")</f>
        <v/>
      </c>
      <c r="D41" s="2" t="str">
        <f t="shared" si="16"/>
        <v/>
      </c>
      <c r="E41" s="2" t="str">
        <f t="shared" si="16"/>
        <v/>
      </c>
      <c r="F41" s="2" t="str">
        <f t="shared" si="16"/>
        <v/>
      </c>
      <c r="G41" s="2" t="str">
        <f t="shared" si="16"/>
        <v/>
      </c>
      <c r="H41" s="2" t="str">
        <f t="shared" si="16"/>
        <v/>
      </c>
      <c r="I41" s="2" t="str">
        <f t="shared" ref="I41:J41" si="17">IFERROR(I37/I39,"")</f>
        <v/>
      </c>
      <c r="J41" s="2" t="str">
        <f t="shared" si="17"/>
        <v/>
      </c>
      <c r="K41" s="2"/>
      <c r="L41" s="2"/>
      <c r="M41" s="2" t="str">
        <f t="shared" si="16"/>
        <v/>
      </c>
      <c r="N41" s="2"/>
    </row>
    <row r="42" spans="1:16" x14ac:dyDescent="0.3">
      <c r="A42" s="8" t="s">
        <v>226</v>
      </c>
      <c r="B42" s="10"/>
      <c r="C42" s="10"/>
      <c r="D42" s="10"/>
      <c r="E42" s="10"/>
      <c r="F42" s="10"/>
      <c r="G42" s="10"/>
      <c r="H42" s="10"/>
      <c r="I42" s="10"/>
      <c r="J42" s="10"/>
      <c r="K42" s="10"/>
      <c r="L42" s="10"/>
      <c r="M42" s="10"/>
      <c r="N42" s="10"/>
    </row>
    <row r="43" spans="1:16" x14ac:dyDescent="0.3">
      <c r="A43" s="85" t="str">
        <f>IF(Inputs!$E$10 = "Miles", "RTMs", "RTKs")</f>
        <v>RTMs</v>
      </c>
      <c r="B43" s="33"/>
      <c r="C43" s="33"/>
      <c r="D43" s="33"/>
      <c r="E43" s="33"/>
      <c r="F43" s="33"/>
      <c r="G43" s="33"/>
      <c r="H43" s="33"/>
      <c r="I43" s="33"/>
      <c r="J43" s="33"/>
      <c r="K43" s="33"/>
      <c r="L43" s="33"/>
      <c r="M43" s="35">
        <f>SUMIFS('Interim Operational Data'!$B43:$XFD43,'Interim Operational Data'!$B$3:$XFD$3,"&lt;="&amp;'Annual Operational Data'!M$3,'Interim Operational Data'!$B$3:$XFD$3, "&gt;="&amp;('Annual Operational Data'!M$3- 364))</f>
        <v>0</v>
      </c>
      <c r="N43" s="53"/>
    </row>
    <row r="44" spans="1:16" x14ac:dyDescent="0.3">
      <c r="A44" s="17" t="s">
        <v>0</v>
      </c>
      <c r="B44" s="2"/>
      <c r="C44" s="2" t="str">
        <f t="shared" ref="C44:J44" si="18">IFERROR((C43/B43)-1,"")</f>
        <v/>
      </c>
      <c r="D44" s="2" t="str">
        <f t="shared" si="18"/>
        <v/>
      </c>
      <c r="E44" s="2" t="str">
        <f t="shared" si="18"/>
        <v/>
      </c>
      <c r="F44" s="2" t="str">
        <f t="shared" si="18"/>
        <v/>
      </c>
      <c r="G44" s="2" t="str">
        <f t="shared" si="18"/>
        <v/>
      </c>
      <c r="H44" s="2" t="str">
        <f t="shared" si="18"/>
        <v/>
      </c>
      <c r="I44" s="2" t="str">
        <f t="shared" si="18"/>
        <v/>
      </c>
      <c r="J44" s="2" t="str">
        <f t="shared" si="18"/>
        <v/>
      </c>
      <c r="K44" s="2"/>
      <c r="L44" s="2"/>
      <c r="M44" s="2" t="str">
        <f>IFERROR((M43/H43)-1,"")</f>
        <v/>
      </c>
      <c r="N44" s="2"/>
    </row>
    <row r="45" spans="1:16" x14ac:dyDescent="0.3">
      <c r="A45" s="85" t="str">
        <f>IF(Inputs!$E$10 = "Miles", "ATMs", "ATKs")</f>
        <v>ATMs</v>
      </c>
      <c r="B45" s="33"/>
      <c r="C45" s="33"/>
      <c r="D45" s="33"/>
      <c r="E45" s="33"/>
      <c r="F45" s="33"/>
      <c r="G45" s="33"/>
      <c r="H45" s="33"/>
      <c r="I45" s="33"/>
      <c r="J45" s="33"/>
      <c r="K45" s="33"/>
      <c r="L45" s="33"/>
      <c r="M45" s="35">
        <f>SUMIFS('Interim Operational Data'!$B45:$XFD45,'Interim Operational Data'!$B$3:$XFD$3,"&lt;="&amp;'Annual Operational Data'!M$3,'Interim Operational Data'!$B$3:$XFD$3, "&gt;="&amp;('Annual Operational Data'!M$3- 364))</f>
        <v>0</v>
      </c>
      <c r="N45" s="53"/>
    </row>
    <row r="46" spans="1:16" x14ac:dyDescent="0.3">
      <c r="A46" s="17" t="s">
        <v>0</v>
      </c>
      <c r="B46" s="2"/>
      <c r="C46" s="2" t="str">
        <f t="shared" ref="C46:J46" si="19">IFERROR((C45/B45)-1,"")</f>
        <v/>
      </c>
      <c r="D46" s="2" t="str">
        <f t="shared" si="19"/>
        <v/>
      </c>
      <c r="E46" s="2" t="str">
        <f t="shared" si="19"/>
        <v/>
      </c>
      <c r="F46" s="2" t="str">
        <f t="shared" si="19"/>
        <v/>
      </c>
      <c r="G46" s="2" t="str">
        <f t="shared" si="19"/>
        <v/>
      </c>
      <c r="H46" s="2" t="str">
        <f t="shared" si="19"/>
        <v/>
      </c>
      <c r="I46" s="2" t="str">
        <f t="shared" si="19"/>
        <v/>
      </c>
      <c r="J46" s="2" t="str">
        <f t="shared" si="19"/>
        <v/>
      </c>
      <c r="K46" s="2"/>
      <c r="L46" s="2"/>
      <c r="M46" s="2" t="str">
        <f>IFERROR((M45/H45)-1,"")</f>
        <v/>
      </c>
      <c r="N46" s="2"/>
    </row>
    <row r="47" spans="1:16" x14ac:dyDescent="0.3">
      <c r="A47" s="17" t="s">
        <v>240</v>
      </c>
      <c r="B47" s="2" t="str">
        <f>IFERROR(B43/B45,"")</f>
        <v/>
      </c>
      <c r="C47" s="2" t="str">
        <f t="shared" ref="C47:M47" si="20">IFERROR(C43/C45,"")</f>
        <v/>
      </c>
      <c r="D47" s="2" t="str">
        <f t="shared" si="20"/>
        <v/>
      </c>
      <c r="E47" s="2" t="str">
        <f t="shared" si="20"/>
        <v/>
      </c>
      <c r="F47" s="2" t="str">
        <f t="shared" si="20"/>
        <v/>
      </c>
      <c r="G47" s="2" t="str">
        <f t="shared" si="20"/>
        <v/>
      </c>
      <c r="H47" s="2" t="str">
        <f t="shared" si="20"/>
        <v/>
      </c>
      <c r="I47" s="2" t="str">
        <f t="shared" ref="I47:J47" si="21">IFERROR(I43/I45,"")</f>
        <v/>
      </c>
      <c r="J47" s="2" t="str">
        <f t="shared" si="21"/>
        <v/>
      </c>
      <c r="K47" s="2"/>
      <c r="L47" s="2"/>
      <c r="M47" s="2" t="str">
        <f t="shared" si="20"/>
        <v/>
      </c>
      <c r="N47" s="2"/>
    </row>
    <row r="48" spans="1:16" x14ac:dyDescent="0.3">
      <c r="A48" s="17" t="s">
        <v>241</v>
      </c>
      <c r="B48" s="2" t="str">
        <f>IFERROR(B37/B43,"")</f>
        <v/>
      </c>
      <c r="C48" s="2" t="str">
        <f t="shared" ref="C48:M48" si="22">IFERROR(C37/C43,"")</f>
        <v/>
      </c>
      <c r="D48" s="2" t="str">
        <f t="shared" si="22"/>
        <v/>
      </c>
      <c r="E48" s="2" t="str">
        <f t="shared" si="22"/>
        <v/>
      </c>
      <c r="F48" s="2" t="str">
        <f t="shared" si="22"/>
        <v/>
      </c>
      <c r="G48" s="2" t="str">
        <f t="shared" si="22"/>
        <v/>
      </c>
      <c r="H48" s="2" t="str">
        <f t="shared" si="22"/>
        <v/>
      </c>
      <c r="I48" s="2" t="str">
        <f t="shared" ref="I48:J48" si="23">IFERROR(I37/I43,"")</f>
        <v/>
      </c>
      <c r="J48" s="2" t="str">
        <f t="shared" si="23"/>
        <v/>
      </c>
      <c r="K48" s="2"/>
      <c r="L48" s="2"/>
      <c r="M48" s="2" t="str">
        <f t="shared" si="22"/>
        <v/>
      </c>
      <c r="N48" s="2"/>
    </row>
    <row r="49" spans="1:14" x14ac:dyDescent="0.3">
      <c r="A49" s="8" t="s">
        <v>242</v>
      </c>
      <c r="B49" s="10"/>
      <c r="C49" s="10"/>
      <c r="D49" s="10"/>
      <c r="E49" s="10"/>
      <c r="F49" s="10"/>
      <c r="G49" s="10"/>
      <c r="H49" s="10"/>
      <c r="I49" s="10"/>
      <c r="J49" s="10"/>
      <c r="K49" s="10"/>
      <c r="L49" s="10"/>
      <c r="M49" s="10"/>
      <c r="N49" s="10"/>
    </row>
    <row r="50" spans="1:14" x14ac:dyDescent="0.3">
      <c r="A50" s="17" t="s">
        <v>243</v>
      </c>
      <c r="B50" s="12" t="str">
        <f t="shared" ref="B50:C50" si="24">IFERROR(B27*1000/B16,"N/A")</f>
        <v>N/A</v>
      </c>
      <c r="C50" s="12">
        <f t="shared" si="24"/>
        <v>1442.5531914893618</v>
      </c>
      <c r="D50" s="12">
        <f t="shared" ref="D50:M50" si="25">IFERROR(D27*1000/D16,"N/A")</f>
        <v>1463.3123689727463</v>
      </c>
      <c r="E50" s="12">
        <f t="shared" si="25"/>
        <v>1474.680412371134</v>
      </c>
      <c r="F50" s="12">
        <f t="shared" si="25"/>
        <v>1575.7055214723925</v>
      </c>
      <c r="G50" s="12">
        <f t="shared" si="25"/>
        <v>1668.3975659229209</v>
      </c>
      <c r="H50" s="12">
        <f t="shared" si="25"/>
        <v>1758.7843137254902</v>
      </c>
      <c r="I50" s="12">
        <f t="shared" si="25"/>
        <v>1785.7513914656772</v>
      </c>
      <c r="J50" s="12">
        <f t="shared" si="25"/>
        <v>1764.4367417677643</v>
      </c>
      <c r="K50" s="12">
        <f t="shared" ref="K50:L50" si="26">IFERROR(K27*1000/K16,"N/A")</f>
        <v>1641.4968152866243</v>
      </c>
      <c r="L50" s="12">
        <f t="shared" si="26"/>
        <v>509.62962962962962</v>
      </c>
      <c r="M50" s="12">
        <f t="shared" si="25"/>
        <v>232.1421647819063</v>
      </c>
      <c r="N50" s="12"/>
    </row>
    <row r="51" spans="1:14" x14ac:dyDescent="0.3">
      <c r="A51" s="17" t="s">
        <v>0</v>
      </c>
      <c r="B51" s="2"/>
      <c r="C51" s="2">
        <f t="shared" ref="C51" si="27">IFERROR((C50/B50)-1,0)</f>
        <v>0</v>
      </c>
      <c r="D51" s="2">
        <f t="shared" ref="D51" si="28">IFERROR((D50/C50)-1,0)</f>
        <v>1.4390580261343322E-2</v>
      </c>
      <c r="E51" s="2">
        <f t="shared" ref="E51" si="29">IFERROR((E50/D50)-1,0)</f>
        <v>7.7687058754025706E-3</v>
      </c>
      <c r="F51" s="2">
        <f t="shared" ref="F51" si="30">IFERROR((F50/E50)-1,0)</f>
        <v>6.8506442652764621E-2</v>
      </c>
      <c r="G51" s="2">
        <f t="shared" ref="G51" si="31">IFERROR((G50/F50)-1,0)</f>
        <v>5.8825740715761299E-2</v>
      </c>
      <c r="H51" s="2">
        <f t="shared" ref="H51" si="32">IFERROR((H50/G50)-1,0)</f>
        <v>5.4175784985978082E-2</v>
      </c>
      <c r="I51" s="2">
        <f t="shared" ref="I51" si="33">IFERROR((I50/H50)-1,0)</f>
        <v>1.5332794095180846E-2</v>
      </c>
      <c r="J51" s="2">
        <f t="shared" ref="J51:L51" si="34">IFERROR((J50/I50)-1,0)</f>
        <v>-1.1935955810970289E-2</v>
      </c>
      <c r="K51" s="2">
        <f t="shared" si="34"/>
        <v>-6.9676584924188489E-2</v>
      </c>
      <c r="L51" s="2">
        <f t="shared" si="34"/>
        <v>-0.68953358612478177</v>
      </c>
      <c r="M51" s="2">
        <f t="shared" ref="M51" si="35">IFERROR((M50/J50)-1,0)</f>
        <v>-0.8684327075680105</v>
      </c>
      <c r="N51" s="2"/>
    </row>
    <row r="52" spans="1:14" x14ac:dyDescent="0.3">
      <c r="A52" s="17" t="s">
        <v>244</v>
      </c>
      <c r="B52" s="5" t="str">
        <f t="shared" ref="B52:C52" si="36">IFERROR(B9/B16,"N/A")</f>
        <v>N/A</v>
      </c>
      <c r="C52" s="5">
        <f t="shared" si="36"/>
        <v>0</v>
      </c>
      <c r="D52" s="5">
        <f t="shared" ref="D52:M52" si="37">IFERROR(D9/D16,"N/A")</f>
        <v>0</v>
      </c>
      <c r="E52" s="5">
        <f t="shared" si="37"/>
        <v>0</v>
      </c>
      <c r="F52" s="5">
        <f t="shared" si="37"/>
        <v>0</v>
      </c>
      <c r="G52" s="5">
        <f t="shared" si="37"/>
        <v>0</v>
      </c>
      <c r="H52" s="5">
        <f t="shared" si="37"/>
        <v>0</v>
      </c>
      <c r="I52" s="5">
        <f t="shared" si="37"/>
        <v>0</v>
      </c>
      <c r="J52" s="5">
        <f t="shared" si="37"/>
        <v>0</v>
      </c>
      <c r="K52" s="5">
        <f t="shared" ref="K52:L52" si="38">IFERROR(K9/K16,"N/A")</f>
        <v>0</v>
      </c>
      <c r="L52" s="5">
        <f t="shared" si="38"/>
        <v>0</v>
      </c>
      <c r="M52" s="5">
        <f t="shared" si="37"/>
        <v>0</v>
      </c>
      <c r="N52" s="5"/>
    </row>
    <row r="53" spans="1:14" x14ac:dyDescent="0.3">
      <c r="A53" s="17" t="s">
        <v>0</v>
      </c>
      <c r="B53" s="2"/>
      <c r="C53" s="2">
        <f t="shared" ref="C53" si="39">IFERROR((C52/B52)-1,0)</f>
        <v>0</v>
      </c>
      <c r="D53" s="2">
        <f t="shared" ref="D53" si="40">IFERROR((D52/C52)-1,0)</f>
        <v>0</v>
      </c>
      <c r="E53" s="2">
        <f t="shared" ref="E53" si="41">IFERROR((E52/D52)-1,0)</f>
        <v>0</v>
      </c>
      <c r="F53" s="2">
        <f t="shared" ref="F53" si="42">IFERROR((F52/E52)-1,0)</f>
        <v>0</v>
      </c>
      <c r="G53" s="2">
        <f t="shared" ref="G53" si="43">IFERROR((G52/F52)-1,0)</f>
        <v>0</v>
      </c>
      <c r="H53" s="2">
        <f t="shared" ref="H53" si="44">IFERROR((H52/G52)-1,0)</f>
        <v>0</v>
      </c>
      <c r="I53" s="2">
        <f t="shared" ref="I53" si="45">IFERROR((I52/H52)-1,0)</f>
        <v>0</v>
      </c>
      <c r="J53" s="2">
        <f t="shared" ref="J53:L53" si="46">IFERROR((J52/I52)-1,0)</f>
        <v>0</v>
      </c>
      <c r="K53" s="2">
        <f t="shared" si="46"/>
        <v>0</v>
      </c>
      <c r="L53" s="2">
        <f t="shared" si="46"/>
        <v>0</v>
      </c>
      <c r="M53" s="2">
        <f t="shared" ref="M53" si="47">IFERROR((M52/J52)-1,0)</f>
        <v>0</v>
      </c>
      <c r="N53" s="2"/>
    </row>
    <row r="54" spans="1:14" x14ac:dyDescent="0.3">
      <c r="A54" s="17" t="s">
        <v>245</v>
      </c>
      <c r="B54" s="5" t="str">
        <f t="shared" ref="B54:C54" si="48">IFERROR(B22/B16,"N/A")</f>
        <v>N/A</v>
      </c>
      <c r="C54" s="5">
        <f t="shared" si="48"/>
        <v>53.336595744680849</v>
      </c>
      <c r="D54" s="5">
        <f t="shared" ref="D54:M54" si="49">IFERROR(D22/D16,"N/A")</f>
        <v>54.480289308176104</v>
      </c>
      <c r="E54" s="5">
        <f t="shared" si="49"/>
        <v>52.906185567010311</v>
      </c>
      <c r="F54" s="5">
        <f t="shared" si="49"/>
        <v>52.909325153374233</v>
      </c>
      <c r="G54" s="5">
        <f t="shared" si="49"/>
        <v>54.342799188640974</v>
      </c>
      <c r="H54" s="5">
        <f t="shared" si="49"/>
        <v>54.973199999999991</v>
      </c>
      <c r="I54" s="5">
        <f t="shared" si="49"/>
        <v>54.651131725417443</v>
      </c>
      <c r="J54" s="5">
        <f t="shared" si="49"/>
        <v>52.301906412478338</v>
      </c>
      <c r="K54" s="5">
        <f t="shared" ref="K54:L54" si="50">IFERROR(K22/K16,"N/A")</f>
        <v>0</v>
      </c>
      <c r="L54" s="5">
        <f t="shared" si="50"/>
        <v>0</v>
      </c>
      <c r="M54" s="5">
        <f t="shared" si="49"/>
        <v>0</v>
      </c>
      <c r="N54" s="5"/>
    </row>
    <row r="55" spans="1:14" x14ac:dyDescent="0.3">
      <c r="A55" s="17" t="s">
        <v>0</v>
      </c>
      <c r="B55" s="5"/>
      <c r="C55" s="2">
        <f t="shared" ref="C55" si="51">IFERROR((C54/B54)-1,0)</f>
        <v>0</v>
      </c>
      <c r="D55" s="2">
        <f t="shared" ref="D55" si="52">IFERROR((D54/C54)-1,0)</f>
        <v>2.144294264617197E-2</v>
      </c>
      <c r="E55" s="2">
        <f t="shared" ref="E55" si="53">IFERROR((E54/D54)-1,0)</f>
        <v>-2.8893087044043253E-2</v>
      </c>
      <c r="F55" s="2">
        <f t="shared" ref="F55" si="54">IFERROR((F54/E54)-1,0)</f>
        <v>5.9342519788119219E-5</v>
      </c>
      <c r="G55" s="2">
        <f t="shared" ref="G55" si="55">IFERROR((G54/F54)-1,0)</f>
        <v>2.7093031920391475E-2</v>
      </c>
      <c r="H55" s="2">
        <f t="shared" ref="H55" si="56">IFERROR((H54/G54)-1,0)</f>
        <v>1.1600447911611855E-2</v>
      </c>
      <c r="I55" s="2">
        <f t="shared" ref="I55" si="57">IFERROR((I54/H54)-1,0)</f>
        <v>-5.8586415668462344E-3</v>
      </c>
      <c r="J55" s="2">
        <f t="shared" ref="J55:L55" si="58">IFERROR((J54/I54)-1,0)</f>
        <v>-4.2985849309439161E-2</v>
      </c>
      <c r="K55" s="2">
        <f t="shared" si="58"/>
        <v>-1</v>
      </c>
      <c r="L55" s="2">
        <f t="shared" si="58"/>
        <v>0</v>
      </c>
      <c r="M55" s="2">
        <f t="shared" ref="M55" si="59">IFERROR((M54/J54)-1,0)</f>
        <v>-1</v>
      </c>
      <c r="N55" s="2"/>
    </row>
    <row r="56" spans="1:14" x14ac:dyDescent="0.3">
      <c r="A56" s="17" t="s">
        <v>419</v>
      </c>
      <c r="B56" s="4" t="str">
        <f t="shared" ref="B56:C56" si="60">IFERROR(B33/B16,"N/A")</f>
        <v>N/A</v>
      </c>
      <c r="C56" s="4">
        <f t="shared" si="60"/>
        <v>2.8280851063829786</v>
      </c>
      <c r="D56" s="4">
        <f t="shared" ref="D56:M56" si="61">IFERROR(D33/D16,"N/A")</f>
        <v>2.8205031446540882</v>
      </c>
      <c r="E56" s="4">
        <f t="shared" si="61"/>
        <v>2.8277525773195875</v>
      </c>
      <c r="F56" s="4">
        <f t="shared" si="61"/>
        <v>3.022044989775051</v>
      </c>
      <c r="G56" s="4">
        <f t="shared" si="61"/>
        <v>3.2807707910750508</v>
      </c>
      <c r="H56" s="4">
        <f t="shared" si="61"/>
        <v>3.6363137254901963</v>
      </c>
      <c r="I56" s="4">
        <f t="shared" si="61"/>
        <v>3.8401484230055658</v>
      </c>
      <c r="J56" s="4">
        <f t="shared" si="61"/>
        <v>3.8428422876949742</v>
      </c>
      <c r="K56" s="4">
        <f t="shared" ref="K56:L56" si="62">IFERROR(K33/K16,"N/A")</f>
        <v>3.5928025477707006</v>
      </c>
      <c r="L56" s="4">
        <f t="shared" si="62"/>
        <v>1.3964074074074073</v>
      </c>
      <c r="M56" s="4">
        <f t="shared" si="61"/>
        <v>0.65465589660743129</v>
      </c>
      <c r="N56" s="4"/>
    </row>
    <row r="57" spans="1:14" x14ac:dyDescent="0.3">
      <c r="A57" s="17" t="s">
        <v>0</v>
      </c>
      <c r="B57" s="2"/>
      <c r="C57" s="2">
        <f t="shared" ref="C57" si="63">IFERROR((C56/B56)-1,0)</f>
        <v>0</v>
      </c>
      <c r="D57" s="2">
        <f t="shared" ref="D57" si="64">IFERROR((D56/C56)-1,0)</f>
        <v>-2.6809524620662328E-3</v>
      </c>
      <c r="E57" s="2">
        <f t="shared" ref="E57" si="65">IFERROR((E56/D56)-1,0)</f>
        <v>2.5702622169521128E-3</v>
      </c>
      <c r="F57" s="2">
        <f t="shared" ref="F57" si="66">IFERROR((F56/E56)-1,0)</f>
        <v>6.8709127528983505E-2</v>
      </c>
      <c r="G57" s="2">
        <f t="shared" ref="G57" si="67">IFERROR((G56/F56)-1,0)</f>
        <v>8.561282250111657E-2</v>
      </c>
      <c r="H57" s="2">
        <f t="shared" ref="H57" si="68">IFERROR((H56/G56)-1,0)</f>
        <v>0.10837176903133794</v>
      </c>
      <c r="I57" s="2">
        <f t="shared" ref="I57" si="69">IFERROR((I56/H56)-1,0)</f>
        <v>5.6055311203351055E-2</v>
      </c>
      <c r="J57" s="2">
        <f t="shared" ref="J57:L57" si="70">IFERROR((J56/I56)-1,0)</f>
        <v>7.0150014860614895E-4</v>
      </c>
      <c r="K57" s="2">
        <f t="shared" si="70"/>
        <v>-6.5066354850137009E-2</v>
      </c>
      <c r="L57" s="2">
        <f t="shared" si="70"/>
        <v>-0.61133199254886283</v>
      </c>
      <c r="M57" s="2">
        <f t="shared" ref="M57" si="71">IFERROR((M56/J56)-1,0)</f>
        <v>-0.82964278843717287</v>
      </c>
      <c r="N57" s="2"/>
    </row>
    <row r="58" spans="1:14" x14ac:dyDescent="0.3">
      <c r="A58" s="17" t="s">
        <v>246</v>
      </c>
      <c r="B58" s="4" t="str">
        <f t="shared" ref="B58:C58" si="72">IFERROR(B45/B16,"N/A")</f>
        <v>N/A</v>
      </c>
      <c r="C58" s="4">
        <f t="shared" si="72"/>
        <v>0</v>
      </c>
      <c r="D58" s="4">
        <f t="shared" ref="D58:M58" si="73">IFERROR(D45/D16,"N/A")</f>
        <v>0</v>
      </c>
      <c r="E58" s="4">
        <f t="shared" si="73"/>
        <v>0</v>
      </c>
      <c r="F58" s="4">
        <f t="shared" si="73"/>
        <v>0</v>
      </c>
      <c r="G58" s="4">
        <f t="shared" si="73"/>
        <v>0</v>
      </c>
      <c r="H58" s="4">
        <f t="shared" si="73"/>
        <v>0</v>
      </c>
      <c r="I58" s="4">
        <f t="shared" si="73"/>
        <v>0</v>
      </c>
      <c r="J58" s="4">
        <f t="shared" si="73"/>
        <v>0</v>
      </c>
      <c r="K58" s="4">
        <f t="shared" ref="K58:L58" si="74">IFERROR(K45/K16,"N/A")</f>
        <v>0</v>
      </c>
      <c r="L58" s="4">
        <f t="shared" si="74"/>
        <v>0</v>
      </c>
      <c r="M58" s="4">
        <f t="shared" si="73"/>
        <v>0</v>
      </c>
      <c r="N58" s="4"/>
    </row>
    <row r="59" spans="1:14" x14ac:dyDescent="0.3">
      <c r="A59" s="17" t="s">
        <v>0</v>
      </c>
      <c r="B59" s="2"/>
      <c r="C59" s="2">
        <f t="shared" ref="C59" si="75">IFERROR((C58/B58)-1,0)</f>
        <v>0</v>
      </c>
      <c r="D59" s="2">
        <f t="shared" ref="D59" si="76">IFERROR((D58/C58)-1,0)</f>
        <v>0</v>
      </c>
      <c r="E59" s="2">
        <f t="shared" ref="E59" si="77">IFERROR((E58/D58)-1,0)</f>
        <v>0</v>
      </c>
      <c r="F59" s="2">
        <f t="shared" ref="F59" si="78">IFERROR((F58/E58)-1,0)</f>
        <v>0</v>
      </c>
      <c r="G59" s="2">
        <f t="shared" ref="G59" si="79">IFERROR((G58/F58)-1,0)</f>
        <v>0</v>
      </c>
      <c r="H59" s="2">
        <f t="shared" ref="H59" si="80">IFERROR((H58/G58)-1,0)</f>
        <v>0</v>
      </c>
      <c r="I59" s="2">
        <f t="shared" ref="I59" si="81">IFERROR((I58/H58)-1,0)</f>
        <v>0</v>
      </c>
      <c r="J59" s="2">
        <f t="shared" ref="J59:L59" si="82">IFERROR((J58/I58)-1,0)</f>
        <v>0</v>
      </c>
      <c r="K59" s="2">
        <f t="shared" si="82"/>
        <v>0</v>
      </c>
      <c r="L59" s="2">
        <f t="shared" si="82"/>
        <v>0</v>
      </c>
      <c r="M59" s="2">
        <f t="shared" ref="M59" si="83">IFERROR((M58/J58)-1,0)</f>
        <v>0</v>
      </c>
      <c r="N59" s="2"/>
    </row>
    <row r="60" spans="1:14" s="52" customFormat="1" x14ac:dyDescent="0.3">
      <c r="A60" s="89" t="s">
        <v>450</v>
      </c>
      <c r="B60" s="99" t="str">
        <f>IFERROR('Annual Income Statement US$'!B13*1000/'Annual Operational Data'!B16,"")</f>
        <v/>
      </c>
      <c r="C60" s="99">
        <f>IFERROR('Annual Income Statement US$'!C13*1000/'Annual Operational Data'!C16,"")</f>
        <v>499.70941372578523</v>
      </c>
      <c r="D60" s="99">
        <f>IFERROR('Annual Income Statement US$'!D13*1000/'Annual Operational Data'!D16,"")</f>
        <v>508.35910990849794</v>
      </c>
      <c r="E60" s="99">
        <f>IFERROR('Annual Income Statement US$'!E13*1000/'Annual Operational Data'!E16,"")</f>
        <v>495.82242973813351</v>
      </c>
      <c r="F60" s="99">
        <f>IFERROR('Annual Income Statement US$'!F13*1000/'Annual Operational Data'!F16,"")</f>
        <v>521.59324098161869</v>
      </c>
      <c r="G60" s="99">
        <f>IFERROR('Annual Income Statement US$'!G13*1000/'Annual Operational Data'!G16,"")</f>
        <v>440.34372148774003</v>
      </c>
      <c r="H60" s="99">
        <f>IFERROR('Annual Income Statement US$'!H13*1000/'Annual Operational Data'!H16,"")</f>
        <v>434.31274897451055</v>
      </c>
      <c r="I60" s="99">
        <f>IFERROR('Annual Income Statement US$'!I13*1000/'Annual Operational Data'!I16,"")</f>
        <v>464.54762437551739</v>
      </c>
      <c r="J60" s="99">
        <f>IFERROR('Annual Income Statement US$'!J13*1000/'Annual Operational Data'!J16,"")</f>
        <v>481.50941499891155</v>
      </c>
      <c r="K60" s="99">
        <f>IFERROR('Annual Income Statement US$'!K13*1000/'Annual Operational Data'!K16,"")</f>
        <v>459.16611344002331</v>
      </c>
      <c r="L60" s="99">
        <f>IFERROR('Annual Income Statement US$'!L13*1000/'Annual Operational Data'!L16,"")</f>
        <v>164.21803583066935</v>
      </c>
      <c r="M60" s="99">
        <f>IFERROR('Annual Income Statement US$'!M13*1000/'Annual Operational Data'!M16,"")</f>
        <v>89.491180635191313</v>
      </c>
      <c r="N60" s="72"/>
    </row>
    <row r="61" spans="1:14" s="52" customFormat="1" x14ac:dyDescent="0.3">
      <c r="A61" s="89" t="s">
        <v>0</v>
      </c>
      <c r="B61" s="71"/>
      <c r="C61" s="71">
        <f t="shared" ref="C61" si="84">IFERROR((C60/B60)-1,0)</f>
        <v>0</v>
      </c>
      <c r="D61" s="71">
        <f t="shared" ref="D61" si="85">IFERROR((D60/C60)-1,0)</f>
        <v>1.7309452143839721E-2</v>
      </c>
      <c r="E61" s="71">
        <f t="shared" ref="E61" si="86">IFERROR((E60/D60)-1,0)</f>
        <v>-2.466107113261129E-2</v>
      </c>
      <c r="F61" s="71">
        <f t="shared" ref="F61" si="87">IFERROR((F60/E60)-1,0)</f>
        <v>5.1975888337879139E-2</v>
      </c>
      <c r="G61" s="71">
        <f t="shared" ref="G61" si="88">IFERROR((G60/F60)-1,0)</f>
        <v>-0.15577180283427394</v>
      </c>
      <c r="H61" s="71">
        <f t="shared" ref="H61" si="89">IFERROR((H60/G60)-1,0)</f>
        <v>-1.3696056555213998E-2</v>
      </c>
      <c r="I61" s="71">
        <f t="shared" ref="I61" si="90">IFERROR((I60/H60)-1,0)</f>
        <v>6.9615445257816377E-2</v>
      </c>
      <c r="J61" s="71">
        <f t="shared" ref="J61:L61" si="91">IFERROR((J60/I60)-1,0)</f>
        <v>3.6512490288149957E-2</v>
      </c>
      <c r="K61" s="71">
        <f t="shared" si="91"/>
        <v>-4.6402626538338265E-2</v>
      </c>
      <c r="L61" s="71">
        <f t="shared" si="91"/>
        <v>-0.64235593388988255</v>
      </c>
      <c r="M61" s="71">
        <f t="shared" ref="M61" si="92">IFERROR((M60/J60)-1,0)</f>
        <v>-0.81414448430796815</v>
      </c>
      <c r="N61" s="71"/>
    </row>
    <row r="62" spans="1:14" x14ac:dyDescent="0.3">
      <c r="A62" s="17" t="s">
        <v>247</v>
      </c>
      <c r="B62" s="2">
        <f>IFERROR(-'Annual Inc Statement Reported'!B15/'Annual Inc Statement Reported'!B13,"")</f>
        <v>0.17476358242165771</v>
      </c>
      <c r="C62" s="2">
        <f>IFERROR(-'Annual Inc Statement Reported'!C15/'Annual Inc Statement Reported'!C13,"")</f>
        <v>0.17146055804340338</v>
      </c>
      <c r="D62" s="2">
        <f>IFERROR(-'Annual Inc Statement Reported'!D15/'Annual Inc Statement Reported'!D13,"")</f>
        <v>0.16377887788778878</v>
      </c>
      <c r="E62" s="2">
        <f>IFERROR(-'Annual Inc Statement Reported'!E15/'Annual Inc Statement Reported'!E13,"")</f>
        <v>0.17485058956549832</v>
      </c>
      <c r="F62" s="2">
        <f>IFERROR(-'Annual Inc Statement Reported'!F15/'Annual Inc Statement Reported'!F13,"")</f>
        <v>0.1719409282700422</v>
      </c>
      <c r="G62" s="2">
        <f>IFERROR(-'Annual Inc Statement Reported'!G15/'Annual Inc Statement Reported'!G13,"")</f>
        <v>0.16758004038073263</v>
      </c>
      <c r="H62" s="2">
        <f>IFERROR(-'Annual Inc Statement Reported'!H15/'Annual Inc Statement Reported'!H13,"")</f>
        <v>0.17101587517885125</v>
      </c>
      <c r="I62" s="2">
        <f>IFERROR(-'Annual Inc Statement Reported'!I15/'Annual Inc Statement Reported'!I13,"")</f>
        <v>0.16434900319960621</v>
      </c>
      <c r="J62" s="2">
        <f>IFERROR(-'Annual Inc Statement Reported'!J15/'Annual Inc Statement Reported'!J13,"")</f>
        <v>0.15958451369216242</v>
      </c>
      <c r="K62" s="2">
        <f>IFERROR(-'Annual Inc Statement Reported'!K15/'Annual Inc Statement Reported'!K13,"")</f>
        <v>0.16643144634363075</v>
      </c>
      <c r="L62" s="2">
        <f>IFERROR(-'Annual Inc Statement Reported'!M15/'Annual Inc Statement Reported'!M13,"")</f>
        <v>0.39835409252669041</v>
      </c>
      <c r="M62" s="2">
        <f>IFERROR(-'Annual Inc Statement Reported'!M15/'Annual Inc Statement Reported'!M13,"")</f>
        <v>0.39835409252669041</v>
      </c>
      <c r="N62" s="2"/>
    </row>
    <row r="63" spans="1:14" x14ac:dyDescent="0.3">
      <c r="A63" s="8" t="s">
        <v>248</v>
      </c>
      <c r="B63" s="10"/>
      <c r="C63" s="10"/>
      <c r="D63" s="10"/>
      <c r="E63" s="10"/>
      <c r="F63" s="10"/>
      <c r="G63" s="10"/>
      <c r="H63" s="10"/>
      <c r="I63" s="10"/>
      <c r="J63" s="10"/>
      <c r="K63" s="10"/>
      <c r="L63" s="10"/>
      <c r="M63" s="10"/>
      <c r="N63" s="10"/>
    </row>
    <row r="64" spans="1:14" x14ac:dyDescent="0.3">
      <c r="A64" s="17" t="str">
        <f>("Litres per million " &amp; A33)</f>
        <v>Litres per million ASMs</v>
      </c>
      <c r="B64" s="12">
        <f>IFERROR(B25/B33,"")</f>
        <v>5.9704548318004286E-2</v>
      </c>
      <c r="C64" s="12">
        <f t="shared" ref="C64:M64" si="93">IFERROR(C25/C33,"")</f>
        <v>5.9238639783328315E-2</v>
      </c>
      <c r="D64" s="12">
        <f t="shared" si="93"/>
        <v>5.9105977493347603E-2</v>
      </c>
      <c r="E64" s="12">
        <f t="shared" si="93"/>
        <v>5.8229915564434985E-2</v>
      </c>
      <c r="F64" s="12">
        <f t="shared" si="93"/>
        <v>5.7017959371489665E-2</v>
      </c>
      <c r="G64" s="12">
        <f t="shared" si="93"/>
        <v>5.5372135870707669E-2</v>
      </c>
      <c r="H64" s="12">
        <f t="shared" si="93"/>
        <v>5.2164441472726093E-2</v>
      </c>
      <c r="I64" s="12">
        <f t="shared" si="93"/>
        <v>5.1519808294360918E-2</v>
      </c>
      <c r="J64" s="12">
        <f t="shared" si="93"/>
        <v>5.0486461133259969E-2</v>
      </c>
      <c r="K64" s="12">
        <f t="shared" ref="K64:L64" si="94">IFERROR(K25/K33,"")</f>
        <v>5.064906837803819E-2</v>
      </c>
      <c r="L64" s="12">
        <f t="shared" si="94"/>
        <v>5.7124472853619081E-2</v>
      </c>
      <c r="M64" s="12">
        <f t="shared" si="93"/>
        <v>6.6678524894381488E-2</v>
      </c>
      <c r="N64" s="5"/>
    </row>
    <row r="65" spans="1:14" x14ac:dyDescent="0.3">
      <c r="A65" s="17" t="s">
        <v>0</v>
      </c>
      <c r="B65" s="5">
        <v>0</v>
      </c>
      <c r="C65" s="2">
        <f t="shared" ref="C65:L65" si="95">IFERROR((C64/B64)-1,0)</f>
        <v>-7.8035685354221895E-3</v>
      </c>
      <c r="D65" s="2">
        <f t="shared" si="95"/>
        <v>-2.2394553701087228E-3</v>
      </c>
      <c r="E65" s="2">
        <f t="shared" si="95"/>
        <v>-1.4821883776665712E-2</v>
      </c>
      <c r="F65" s="2">
        <f t="shared" si="95"/>
        <v>-2.0813291264422551E-2</v>
      </c>
      <c r="G65" s="2">
        <f t="shared" si="95"/>
        <v>-2.8865001815637559E-2</v>
      </c>
      <c r="H65" s="2">
        <f t="shared" si="95"/>
        <v>-5.7929757404905802E-2</v>
      </c>
      <c r="I65" s="2">
        <f t="shared" si="95"/>
        <v>-1.2357712651868802E-2</v>
      </c>
      <c r="J65" s="2">
        <f t="shared" si="95"/>
        <v>-2.0057278846941196E-2</v>
      </c>
      <c r="K65" s="2">
        <f t="shared" si="95"/>
        <v>3.2208089283385366E-3</v>
      </c>
      <c r="L65" s="2">
        <f t="shared" si="95"/>
        <v>0.12784844189530387</v>
      </c>
      <c r="M65" s="2">
        <f>IFERROR((M64/H64)-1,0)</f>
        <v>0.27823710964573456</v>
      </c>
      <c r="N65" s="2"/>
    </row>
    <row r="66" spans="1:14" x14ac:dyDescent="0.3">
      <c r="A66" s="85" t="str">
        <f>("Litres per million " &amp; A45)</f>
        <v>Litres per million ATMs</v>
      </c>
      <c r="B66" s="5" t="str">
        <f>IFERROR(B25*1000000/B45, "N/A")</f>
        <v>N/A</v>
      </c>
      <c r="C66" s="5" t="str">
        <f t="shared" ref="C66:M66" si="96">IFERROR(C25*1000000/C45, "N/A")</f>
        <v>N/A</v>
      </c>
      <c r="D66" s="5" t="str">
        <f t="shared" si="96"/>
        <v>N/A</v>
      </c>
      <c r="E66" s="5" t="str">
        <f t="shared" si="96"/>
        <v>N/A</v>
      </c>
      <c r="F66" s="5" t="str">
        <f t="shared" si="96"/>
        <v>N/A</v>
      </c>
      <c r="G66" s="5" t="str">
        <f t="shared" si="96"/>
        <v>N/A</v>
      </c>
      <c r="H66" s="5" t="str">
        <f t="shared" si="96"/>
        <v>N/A</v>
      </c>
      <c r="I66" s="5" t="str">
        <f t="shared" si="96"/>
        <v>N/A</v>
      </c>
      <c r="J66" s="5" t="str">
        <f t="shared" si="96"/>
        <v>N/A</v>
      </c>
      <c r="K66" s="5" t="str">
        <f t="shared" ref="K66:L66" si="97">IFERROR(K25*1000000/K45, "N/A")</f>
        <v>N/A</v>
      </c>
      <c r="L66" s="5" t="str">
        <f t="shared" si="97"/>
        <v>N/A</v>
      </c>
      <c r="M66" s="5" t="str">
        <f t="shared" si="96"/>
        <v>N/A</v>
      </c>
      <c r="N66" s="5"/>
    </row>
    <row r="67" spans="1:14" x14ac:dyDescent="0.3">
      <c r="A67" s="17" t="s">
        <v>0</v>
      </c>
      <c r="B67" s="5">
        <v>0</v>
      </c>
      <c r="C67" s="2">
        <f t="shared" ref="C67:L67" si="98">IFERROR((C66/B66)-1,0)</f>
        <v>0</v>
      </c>
      <c r="D67" s="2">
        <f t="shared" si="98"/>
        <v>0</v>
      </c>
      <c r="E67" s="2">
        <f t="shared" si="98"/>
        <v>0</v>
      </c>
      <c r="F67" s="2">
        <f t="shared" si="98"/>
        <v>0</v>
      </c>
      <c r="G67" s="2">
        <f t="shared" si="98"/>
        <v>0</v>
      </c>
      <c r="H67" s="2">
        <f t="shared" si="98"/>
        <v>0</v>
      </c>
      <c r="I67" s="2">
        <f t="shared" si="98"/>
        <v>0</v>
      </c>
      <c r="J67" s="2">
        <f t="shared" si="98"/>
        <v>0</v>
      </c>
      <c r="K67" s="2">
        <f t="shared" si="98"/>
        <v>0</v>
      </c>
      <c r="L67" s="2">
        <f t="shared" si="98"/>
        <v>0</v>
      </c>
      <c r="M67" s="2">
        <f>IFERROR((M66/H66)-1,0)</f>
        <v>0</v>
      </c>
      <c r="N67" s="2"/>
    </row>
    <row r="68" spans="1:14" x14ac:dyDescent="0.3">
      <c r="A68" s="17" t="s">
        <v>250</v>
      </c>
      <c r="B68" s="12" t="str">
        <f t="shared" ref="B68:M68" si="99">IFERROR(B24*1000000/B22,"N/A")</f>
        <v>N/A</v>
      </c>
      <c r="C68" s="12">
        <f t="shared" si="99"/>
        <v>0</v>
      </c>
      <c r="D68" s="12">
        <f t="shared" si="99"/>
        <v>0</v>
      </c>
      <c r="E68" s="12">
        <f t="shared" si="99"/>
        <v>0</v>
      </c>
      <c r="F68" s="12">
        <f t="shared" si="99"/>
        <v>0</v>
      </c>
      <c r="G68" s="12">
        <f t="shared" si="99"/>
        <v>0</v>
      </c>
      <c r="H68" s="12">
        <f t="shared" si="99"/>
        <v>0</v>
      </c>
      <c r="I68" s="12">
        <f t="shared" si="99"/>
        <v>0</v>
      </c>
      <c r="J68" s="12">
        <f t="shared" si="99"/>
        <v>0</v>
      </c>
      <c r="K68" s="12" t="str">
        <f t="shared" ref="K68:L68" si="100">IFERROR(K24*1000000/K22,"N/A")</f>
        <v>N/A</v>
      </c>
      <c r="L68" s="12" t="str">
        <f t="shared" si="100"/>
        <v>N/A</v>
      </c>
      <c r="M68" s="12" t="str">
        <f t="shared" si="99"/>
        <v>N/A</v>
      </c>
      <c r="N68" s="12"/>
    </row>
    <row r="69" spans="1:14" x14ac:dyDescent="0.3">
      <c r="A69" s="17" t="s">
        <v>0</v>
      </c>
      <c r="B69" s="5">
        <v>0</v>
      </c>
      <c r="C69" s="5">
        <f t="shared" ref="C69:L69" si="101">IFERROR((C68/B68)-1,0)</f>
        <v>0</v>
      </c>
      <c r="D69" s="61">
        <f t="shared" si="101"/>
        <v>0</v>
      </c>
      <c r="E69" s="61">
        <f t="shared" si="101"/>
        <v>0</v>
      </c>
      <c r="F69" s="61">
        <f t="shared" si="101"/>
        <v>0</v>
      </c>
      <c r="G69" s="61">
        <f t="shared" si="101"/>
        <v>0</v>
      </c>
      <c r="H69" s="61">
        <f t="shared" si="101"/>
        <v>0</v>
      </c>
      <c r="I69" s="61">
        <f t="shared" si="101"/>
        <v>0</v>
      </c>
      <c r="J69" s="61">
        <f t="shared" si="101"/>
        <v>0</v>
      </c>
      <c r="K69" s="61">
        <f t="shared" si="101"/>
        <v>0</v>
      </c>
      <c r="L69" s="61">
        <f t="shared" si="101"/>
        <v>0</v>
      </c>
      <c r="M69" s="61">
        <f>IFERROR((M68/H68)-1,0)</f>
        <v>0</v>
      </c>
      <c r="N69" s="61"/>
    </row>
    <row r="70" spans="1:14" s="52" customFormat="1" x14ac:dyDescent="0.3">
      <c r="A70" s="89" t="s">
        <v>251</v>
      </c>
      <c r="B70" s="70"/>
      <c r="C70" s="70"/>
      <c r="D70" s="70"/>
      <c r="E70" s="70"/>
      <c r="F70" s="70"/>
      <c r="G70" s="70"/>
      <c r="H70" s="70"/>
      <c r="I70" s="70"/>
      <c r="J70" s="70"/>
      <c r="K70" s="70"/>
      <c r="L70" s="70"/>
      <c r="M70" s="70"/>
      <c r="N70" s="70"/>
    </row>
    <row r="71" spans="1:14" s="52" customFormat="1" x14ac:dyDescent="0.3">
      <c r="A71" s="89" t="s">
        <v>0</v>
      </c>
      <c r="B71" s="70"/>
      <c r="C71" s="70"/>
      <c r="D71" s="71"/>
      <c r="E71" s="71"/>
      <c r="F71" s="71"/>
      <c r="G71" s="71"/>
      <c r="H71" s="71"/>
      <c r="I71" s="71"/>
      <c r="J71" s="71"/>
      <c r="K71" s="71"/>
      <c r="L71" s="71"/>
      <c r="M71" s="71"/>
      <c r="N71" s="71"/>
    </row>
    <row r="72" spans="1:14" x14ac:dyDescent="0.3">
      <c r="A72" s="8" t="s">
        <v>252</v>
      </c>
      <c r="B72" s="10"/>
      <c r="C72" s="10"/>
      <c r="D72" s="10"/>
      <c r="E72" s="10"/>
      <c r="F72" s="10"/>
      <c r="G72" s="10"/>
      <c r="H72" s="10"/>
      <c r="I72" s="10"/>
      <c r="J72" s="10"/>
      <c r="K72" s="10"/>
      <c r="L72" s="10"/>
      <c r="M72" s="10"/>
      <c r="N72" s="10"/>
    </row>
    <row r="73" spans="1:14" x14ac:dyDescent="0.3">
      <c r="A73" s="17" t="s">
        <v>449</v>
      </c>
      <c r="B73" s="5" t="str">
        <f>IFERROR(-'Annual Income Statement US$'!B19*1000/'Annual Operational Data'!B27,"")</f>
        <v/>
      </c>
      <c r="C73" s="5">
        <f>IFERROR(-'Annual Income Statement US$'!C19*1000/'Annual Operational Data'!C27,"")</f>
        <v>18.257028351822601</v>
      </c>
      <c r="D73" s="5">
        <f>IFERROR(-'Annual Income Statement US$'!D19*1000/'Annual Operational Data'!D27,"")</f>
        <v>17.284159260084344</v>
      </c>
      <c r="E73" s="5">
        <f>IFERROR(-'Annual Income Statement US$'!E19*1000/'Annual Operational Data'!E27,"")</f>
        <v>16.645541673053113</v>
      </c>
      <c r="F73" s="5">
        <f>IFERROR(-'Annual Income Statement US$'!F19*1000/'Annual Operational Data'!F27,"")</f>
        <v>16.760609132613489</v>
      </c>
      <c r="G73" s="5">
        <f>IFERROR(-'Annual Income Statement US$'!G19*1000/'Annual Operational Data'!G27,"")</f>
        <v>11.571296105699441</v>
      </c>
      <c r="H73" s="5">
        <f>IFERROR(-'Annual Income Statement US$'!H19*1000/'Annual Operational Data'!H27,"")</f>
        <v>11.827910379548195</v>
      </c>
      <c r="I73" s="5">
        <f>IFERROR(-'Annual Income Statement US$'!I19*1000/'Annual Operational Data'!I27,"")</f>
        <v>12.437223862867333</v>
      </c>
      <c r="J73" s="5">
        <f>IFERROR(-'Annual Income Statement US$'!J19*1000/'Annual Operational Data'!J27,"")</f>
        <v>12.232841364642193</v>
      </c>
      <c r="K73" s="5">
        <f>IFERROR(-'Annual Income Statement US$'!K19*1000/'Annual Operational Data'!K27,"")</f>
        <v>12.779196436729578</v>
      </c>
      <c r="L73" s="5">
        <f>IFERROR(-'Annual Income Statement US$'!L19*1000/'Annual Operational Data'!L27,"")</f>
        <v>13.921138298333087</v>
      </c>
      <c r="M73" s="5">
        <f>IFERROR(-'Annual Income Statement US$'!M19*1000/'Annual Operational Data'!M27,"")</f>
        <v>14.404864810943952</v>
      </c>
      <c r="N73" s="5"/>
    </row>
    <row r="74" spans="1:14" x14ac:dyDescent="0.3">
      <c r="A74" s="17" t="s">
        <v>303</v>
      </c>
      <c r="B74" s="35"/>
      <c r="C74" s="35"/>
      <c r="D74" s="35"/>
      <c r="E74" s="35"/>
      <c r="F74" s="35"/>
      <c r="G74" s="35"/>
      <c r="H74" s="35"/>
      <c r="I74" s="35"/>
      <c r="J74" s="35"/>
      <c r="K74" s="35"/>
      <c r="L74" s="35"/>
      <c r="M74" s="35"/>
      <c r="N74" s="56"/>
    </row>
    <row r="75" spans="1:14" x14ac:dyDescent="0.3">
      <c r="A75" s="85"/>
      <c r="B75" s="218"/>
      <c r="C75" s="218"/>
      <c r="D75" s="218"/>
      <c r="E75" s="218"/>
      <c r="F75" s="218"/>
      <c r="G75" s="218"/>
      <c r="H75" s="218"/>
      <c r="I75" s="218"/>
      <c r="J75" s="218"/>
      <c r="K75" s="218"/>
      <c r="L75" s="218"/>
      <c r="M75" s="218"/>
      <c r="N75" s="218"/>
    </row>
    <row r="76" spans="1:14" x14ac:dyDescent="0.3">
      <c r="A76" s="270" t="s">
        <v>485</v>
      </c>
      <c r="B76" s="271"/>
      <c r="C76" s="271"/>
      <c r="D76" s="271"/>
      <c r="E76" s="271"/>
      <c r="F76" s="271"/>
      <c r="G76" s="271"/>
      <c r="H76" s="271"/>
      <c r="I76" s="271"/>
      <c r="J76" s="271"/>
      <c r="K76" s="271"/>
      <c r="L76" s="271"/>
      <c r="M76" s="271"/>
      <c r="N76" s="271"/>
    </row>
    <row r="77" spans="1:14" x14ac:dyDescent="0.3">
      <c r="A77" s="270" t="s">
        <v>548</v>
      </c>
      <c r="B77" s="271"/>
      <c r="C77" s="271"/>
      <c r="D77" s="271"/>
      <c r="E77" s="271"/>
      <c r="F77" s="271"/>
      <c r="G77" s="271"/>
      <c r="H77" s="271"/>
      <c r="I77" s="271"/>
      <c r="J77" s="271"/>
      <c r="K77" s="271"/>
      <c r="L77" s="271"/>
      <c r="M77" s="271"/>
      <c r="N77" s="271"/>
    </row>
    <row r="78" spans="1:14" x14ac:dyDescent="0.3">
      <c r="A78" s="272" t="s">
        <v>267</v>
      </c>
      <c r="B78" s="273"/>
      <c r="C78" s="273"/>
      <c r="D78" s="273"/>
      <c r="E78" s="273"/>
      <c r="F78" s="273"/>
      <c r="G78" s="273"/>
      <c r="H78" s="273"/>
      <c r="I78" s="273"/>
      <c r="J78" s="273"/>
      <c r="K78" s="273"/>
      <c r="L78" s="273"/>
      <c r="M78" s="273"/>
      <c r="N78" s="273"/>
    </row>
    <row r="79" spans="1:14" x14ac:dyDescent="0.3">
      <c r="A79" s="85" t="s">
        <v>486</v>
      </c>
      <c r="B79" s="12">
        <f>'Revenue Analysis US$'!B9+'Revenue Analysis Reported'!B11</f>
        <v>9150.7391840340133</v>
      </c>
      <c r="C79" s="12">
        <f>'Revenue Analysis US$'!C9+'Revenue Analysis Reported'!C11</f>
        <v>10323.311388206264</v>
      </c>
      <c r="D79" s="12">
        <f>'Revenue Analysis US$'!D9+'Revenue Analysis Reported'!D11</f>
        <v>10740.866712016326</v>
      </c>
      <c r="E79" s="12">
        <f>'Revenue Analysis US$'!E9+'Revenue Analysis Reported'!E11</f>
        <v>10702.078073412313</v>
      </c>
      <c r="F79" s="12">
        <f>'Revenue Analysis US$'!F9+'Revenue Analysis Reported'!F11</f>
        <v>11342.365715383876</v>
      </c>
      <c r="G79" s="12">
        <f>'Revenue Analysis US$'!G9+'Revenue Analysis Reported'!G11</f>
        <v>9721.1242691546067</v>
      </c>
      <c r="H79" s="12">
        <f>'Revenue Analysis US$'!H9+'Revenue Analysis Reported'!H11</f>
        <v>9921.2218164257047</v>
      </c>
      <c r="I79" s="12">
        <f>'Revenue Analysis US$'!I9+'Revenue Analysis Reported'!I11</f>
        <v>11147.583726280587</v>
      </c>
      <c r="J79" s="12">
        <f>'Revenue Analysis US$'!J9+'Revenue Analysis Reported'!J11</f>
        <v>12470.215240224145</v>
      </c>
      <c r="K79" s="12">
        <f>'Revenue Analysis US$'!K9+'Revenue Analysis Reported'!K11</f>
        <v>12986.660637576306</v>
      </c>
      <c r="L79" s="12">
        <f>'Revenue Analysis US$'!M9+'Revenue Analysis Reported'!M11</f>
        <v>2257.8161096565532</v>
      </c>
      <c r="M79" s="12">
        <f>'Revenue Analysis US$'!M9+'Revenue Analysis Reported'!M11</f>
        <v>2257.8161096565532</v>
      </c>
      <c r="N79" s="218"/>
    </row>
    <row r="80" spans="1:14" x14ac:dyDescent="0.3">
      <c r="A80" s="14" t="s">
        <v>487</v>
      </c>
      <c r="B80" s="79">
        <f>B27</f>
        <v>0</v>
      </c>
      <c r="C80" s="79">
        <f t="shared" ref="C80:M80" si="102">C27</f>
        <v>33900</v>
      </c>
      <c r="D80" s="79">
        <f t="shared" si="102"/>
        <v>34900</v>
      </c>
      <c r="E80" s="79">
        <f t="shared" si="102"/>
        <v>35761</v>
      </c>
      <c r="F80" s="79">
        <f t="shared" si="102"/>
        <v>38526</v>
      </c>
      <c r="G80" s="79">
        <f t="shared" si="102"/>
        <v>41126</v>
      </c>
      <c r="H80" s="79">
        <f t="shared" si="102"/>
        <v>44849</v>
      </c>
      <c r="I80" s="79">
        <f t="shared" si="102"/>
        <v>48126</v>
      </c>
      <c r="J80" s="79">
        <f t="shared" si="102"/>
        <v>50904</v>
      </c>
      <c r="K80" s="79">
        <f t="shared" ref="K80:L80" si="103">K27</f>
        <v>51543</v>
      </c>
      <c r="L80" s="79">
        <f t="shared" si="103"/>
        <v>13760</v>
      </c>
      <c r="M80" s="79">
        <f t="shared" si="102"/>
        <v>8981</v>
      </c>
      <c r="N80" s="218"/>
    </row>
    <row r="81" spans="1:14" x14ac:dyDescent="0.3">
      <c r="A81" s="14" t="s">
        <v>580</v>
      </c>
      <c r="B81" s="2" t="str">
        <f t="shared" ref="B81" si="104">IFERROR((B80/A80)-1, "N/A")</f>
        <v>N/A</v>
      </c>
      <c r="C81" s="2" t="str">
        <f t="shared" ref="C81" si="105">IFERROR((C80/B80)-1, "N/A")</f>
        <v>N/A</v>
      </c>
      <c r="D81" s="2">
        <f t="shared" ref="D81" si="106">IFERROR((D80/C80)-1, "N/A")</f>
        <v>2.9498525073746285E-2</v>
      </c>
      <c r="E81" s="2">
        <f t="shared" ref="E81" si="107">IFERROR((E80/D80)-1, "N/A")</f>
        <v>2.4670487106017269E-2</v>
      </c>
      <c r="F81" s="2">
        <f t="shared" ref="F81" si="108">IFERROR((F80/E80)-1, "N/A")</f>
        <v>7.731886692206591E-2</v>
      </c>
      <c r="G81" s="2">
        <f t="shared" ref="G81" si="109">IFERROR((G80/F80)-1, "N/A")</f>
        <v>6.7486891969059881E-2</v>
      </c>
      <c r="H81" s="2">
        <f t="shared" ref="H81:L81" si="110">IFERROR((H80/G80)-1, "N/A")</f>
        <v>9.0526674123425632E-2</v>
      </c>
      <c r="I81" s="2">
        <f t="shared" si="110"/>
        <v>7.3067403955495047E-2</v>
      </c>
      <c r="J81" s="2">
        <f t="shared" si="110"/>
        <v>5.7723475875826047E-2</v>
      </c>
      <c r="K81" s="2">
        <f t="shared" si="110"/>
        <v>1.2553041018387612E-2</v>
      </c>
      <c r="L81" s="2">
        <f t="shared" si="110"/>
        <v>-0.73303843392895252</v>
      </c>
      <c r="M81" s="2">
        <f t="shared" ref="M81" si="111">IFERROR((M80/H80)-1, "N/A")</f>
        <v>-0.79975027313875446</v>
      </c>
      <c r="N81" s="218"/>
    </row>
    <row r="82" spans="1:14" x14ac:dyDescent="0.3">
      <c r="A82" s="14" t="s">
        <v>488</v>
      </c>
      <c r="B82" s="6" t="str">
        <f>IFERROR(B79/B80*1000,"")</f>
        <v/>
      </c>
      <c r="C82" s="6">
        <f t="shared" ref="C82:M82" si="112">IFERROR(C79/C80*1000,"")</f>
        <v>304.52245982909329</v>
      </c>
      <c r="D82" s="6">
        <f t="shared" si="112"/>
        <v>307.76122384000939</v>
      </c>
      <c r="E82" s="6">
        <f t="shared" si="112"/>
        <v>299.26674515288477</v>
      </c>
      <c r="F82" s="6">
        <f t="shared" si="112"/>
        <v>294.40808065679994</v>
      </c>
      <c r="G82" s="6">
        <f t="shared" si="112"/>
        <v>236.37417373813662</v>
      </c>
      <c r="H82" s="6">
        <f t="shared" si="112"/>
        <v>221.21389142290141</v>
      </c>
      <c r="I82" s="6">
        <f t="shared" si="112"/>
        <v>231.63329024395517</v>
      </c>
      <c r="J82" s="6">
        <f t="shared" si="112"/>
        <v>244.97515401980482</v>
      </c>
      <c r="K82" s="6">
        <f t="shared" ref="K82:L82" si="113">IFERROR(K79/K80*1000,"")</f>
        <v>251.95779519190398</v>
      </c>
      <c r="L82" s="6">
        <f t="shared" si="113"/>
        <v>164.0854730855053</v>
      </c>
      <c r="M82" s="6">
        <f t="shared" si="112"/>
        <v>251.39918824814089</v>
      </c>
      <c r="N82" s="218"/>
    </row>
    <row r="83" spans="1:14" x14ac:dyDescent="0.3">
      <c r="A83" s="85" t="s">
        <v>581</v>
      </c>
      <c r="B83" s="2" t="str">
        <f t="shared" ref="B83" si="114">IFERROR((B82/A82)-1, "N/A")</f>
        <v>N/A</v>
      </c>
      <c r="C83" s="2" t="str">
        <f t="shared" ref="C83" si="115">IFERROR((C82/B82)-1, "N/A")</f>
        <v>N/A</v>
      </c>
      <c r="D83" s="2">
        <f t="shared" ref="D83" si="116">IFERROR((D82/C82)-1, "N/A")</f>
        <v>1.0635550536186367E-2</v>
      </c>
      <c r="E83" s="2">
        <f t="shared" ref="E83" si="117">IFERROR((E82/D82)-1, "N/A")</f>
        <v>-2.7600873759003886E-2</v>
      </c>
      <c r="F83" s="2">
        <f t="shared" ref="F83" si="118">IFERROR((F82/E82)-1, "N/A")</f>
        <v>-1.6235230191054884E-2</v>
      </c>
      <c r="G83" s="2">
        <f t="shared" ref="G83" si="119">IFERROR((G82/F82)-1, "N/A")</f>
        <v>-0.19712063197856022</v>
      </c>
      <c r="H83" s="2">
        <f t="shared" ref="H83:L83" si="120">IFERROR((H82/G82)-1, "N/A")</f>
        <v>-6.4136796653725292E-2</v>
      </c>
      <c r="I83" s="2">
        <f t="shared" si="120"/>
        <v>4.7101015013269132E-2</v>
      </c>
      <c r="J83" s="2">
        <f t="shared" si="120"/>
        <v>5.7599077238846164E-2</v>
      </c>
      <c r="K83" s="2">
        <f t="shared" si="120"/>
        <v>2.8503466810902323E-2</v>
      </c>
      <c r="L83" s="2">
        <f t="shared" si="120"/>
        <v>-0.34875810069488267</v>
      </c>
      <c r="M83" s="2">
        <f t="shared" ref="M83" si="121">IFERROR((M82/H82)-1, "N/A")</f>
        <v>0.13645298959789698</v>
      </c>
      <c r="N83" s="218"/>
    </row>
    <row r="84" spans="1:14" x14ac:dyDescent="0.3">
      <c r="A84" s="85"/>
      <c r="B84" s="2"/>
      <c r="C84" s="2"/>
      <c r="D84" s="2"/>
      <c r="E84" s="2"/>
      <c r="F84" s="2"/>
      <c r="G84" s="2"/>
      <c r="H84" s="2"/>
      <c r="I84" s="2"/>
      <c r="J84" s="2"/>
      <c r="K84" s="2"/>
      <c r="L84" s="2"/>
      <c r="M84" s="2"/>
      <c r="N84" s="218"/>
    </row>
    <row r="85" spans="1:14" x14ac:dyDescent="0.3">
      <c r="A85" s="85" t="s">
        <v>489</v>
      </c>
      <c r="B85" s="12">
        <f>'Interim Revenue Analysis US$'!B13</f>
        <v>104.17255497323008</v>
      </c>
      <c r="C85" s="12">
        <f>'Interim Revenue Analysis US$'!C13</f>
        <v>100.02683646832077</v>
      </c>
      <c r="D85" s="12">
        <f>'Interim Revenue Analysis US$'!D13</f>
        <v>91.078166497011253</v>
      </c>
      <c r="E85" s="12">
        <f>'Interim Revenue Analysis US$'!E13</f>
        <v>101.15693561923031</v>
      </c>
      <c r="F85" s="12">
        <f>'Interim Revenue Analysis US$'!F13</f>
        <v>84.418278012677305</v>
      </c>
      <c r="G85" s="12">
        <f>'Interim Revenue Analysis US$'!G13</f>
        <v>86.117942789755844</v>
      </c>
      <c r="H85" s="12">
        <f>'Interim Revenue Analysis US$'!H13</f>
        <v>99.726136686177199</v>
      </c>
      <c r="I85" s="12">
        <f>'Interim Revenue Analysis US$'!I13</f>
        <v>116.14837017609591</v>
      </c>
      <c r="J85" s="12">
        <f>'Interim Revenue Analysis US$'!J13</f>
        <v>101.22986734354697</v>
      </c>
      <c r="K85" s="12">
        <f>'Interim Revenue Analysis US$'!K13</f>
        <v>114.32813659985152</v>
      </c>
      <c r="L85" s="12">
        <f>'Interim Revenue Analysis US$'!L13</f>
        <v>142.76371408974177</v>
      </c>
      <c r="M85" s="12">
        <f>'Interim Revenue Analysis US$'!K13</f>
        <v>114.32813659985152</v>
      </c>
      <c r="N85" s="218"/>
    </row>
    <row r="86" spans="1:14" x14ac:dyDescent="0.3">
      <c r="A86" s="14" t="s">
        <v>490</v>
      </c>
      <c r="B86" s="262"/>
      <c r="C86" s="262"/>
      <c r="D86" s="262"/>
      <c r="E86" s="262"/>
      <c r="F86" s="262"/>
      <c r="G86" s="262"/>
      <c r="H86" s="262"/>
      <c r="I86" s="262"/>
      <c r="J86" s="262"/>
      <c r="K86" s="262"/>
      <c r="L86" s="262"/>
      <c r="M86" s="262"/>
      <c r="N86" s="218"/>
    </row>
    <row r="87" spans="1:14" x14ac:dyDescent="0.3">
      <c r="A87" s="14" t="s">
        <v>491</v>
      </c>
      <c r="B87" s="79" t="str">
        <f>IFERROR(84/B86*1000,"")</f>
        <v/>
      </c>
      <c r="C87" s="79" t="str">
        <f t="shared" ref="C87:M87" si="122">IFERROR(84/C86*1000,"")</f>
        <v/>
      </c>
      <c r="D87" s="79" t="str">
        <f t="shared" si="122"/>
        <v/>
      </c>
      <c r="E87" s="79" t="str">
        <f t="shared" si="122"/>
        <v/>
      </c>
      <c r="F87" s="79" t="str">
        <f t="shared" si="122"/>
        <v/>
      </c>
      <c r="G87" s="79" t="str">
        <f t="shared" si="122"/>
        <v/>
      </c>
      <c r="H87" s="79" t="str">
        <f t="shared" si="122"/>
        <v/>
      </c>
      <c r="I87" s="79" t="str">
        <f t="shared" si="122"/>
        <v/>
      </c>
      <c r="J87" s="79" t="str">
        <f t="shared" si="122"/>
        <v/>
      </c>
      <c r="K87" s="79" t="str">
        <f t="shared" ref="K87:L87" si="123">IFERROR(84/K86*1000,"")</f>
        <v/>
      </c>
      <c r="L87" s="79" t="str">
        <f t="shared" si="123"/>
        <v/>
      </c>
      <c r="M87" s="79" t="str">
        <f t="shared" si="122"/>
        <v/>
      </c>
      <c r="N87" s="218"/>
    </row>
    <row r="88" spans="1:14" x14ac:dyDescent="0.3">
      <c r="B88" s="12"/>
      <c r="C88" s="12"/>
      <c r="D88" s="12"/>
      <c r="E88" s="12"/>
      <c r="F88" s="12"/>
      <c r="G88" s="12"/>
      <c r="H88" s="12"/>
      <c r="I88" s="12"/>
      <c r="J88" s="12"/>
      <c r="K88" s="12"/>
      <c r="L88" s="12"/>
      <c r="M88" s="12"/>
    </row>
    <row r="89" spans="1:14" x14ac:dyDescent="0.3">
      <c r="A89" s="13" t="s">
        <v>492</v>
      </c>
      <c r="B89" s="12">
        <f>'Revenue Analysis US$'!B15</f>
        <v>866.83039051048843</v>
      </c>
      <c r="C89" s="12">
        <f>'Revenue Analysis US$'!C15</f>
        <v>933.42637258173806</v>
      </c>
      <c r="D89" s="12">
        <f>'Revenue Analysis US$'!D15</f>
        <v>895.32231603377215</v>
      </c>
      <c r="E89" s="12">
        <f>'Revenue Analysis US$'!E15</f>
        <v>861.33229753350156</v>
      </c>
      <c r="F89" s="12">
        <f>'Revenue Analysis US$'!F15</f>
        <v>928.22138944940912</v>
      </c>
      <c r="G89" s="12">
        <f>'Revenue Analysis US$'!G15</f>
        <v>737.30266196003538</v>
      </c>
      <c r="H89" s="12">
        <f>'Revenue Analysis US$'!H15</f>
        <v>767.40816757719358</v>
      </c>
      <c r="I89" s="12">
        <f>'Revenue Analysis US$'!I15</f>
        <v>871.25403872734046</v>
      </c>
      <c r="J89" s="12">
        <f>'Revenue Analysis US$'!J15</f>
        <v>801.71732161332125</v>
      </c>
      <c r="K89" s="12">
        <f>'Revenue Analysis US$'!K15</f>
        <v>890.79810083653626</v>
      </c>
      <c r="L89" s="12">
        <f>'Revenue Analysis US$'!M15</f>
        <v>210.22639765901741</v>
      </c>
      <c r="M89" s="12">
        <f>'Revenue Analysis US$'!M15</f>
        <v>210.22639765901741</v>
      </c>
    </row>
    <row r="90" spans="1:14" x14ac:dyDescent="0.3">
      <c r="B90" s="2" t="str">
        <f t="shared" ref="B90" si="124">IFERROR((B89/A89)-1, "N/A")</f>
        <v>N/A</v>
      </c>
      <c r="C90" s="2">
        <f t="shared" ref="C90" si="125">IFERROR((C89/B89)-1, "N/A")</f>
        <v>7.6827004221702966E-2</v>
      </c>
      <c r="D90" s="2">
        <f t="shared" ref="D90" si="126">IFERROR((D89/C89)-1, "N/A")</f>
        <v>-4.0821705564816013E-2</v>
      </c>
      <c r="E90" s="2">
        <f t="shared" ref="E90" si="127">IFERROR((E89/D89)-1, "N/A")</f>
        <v>-3.7964002339229586E-2</v>
      </c>
      <c r="F90" s="2">
        <f t="shared" ref="F90" si="128">IFERROR((F89/E89)-1, "N/A")</f>
        <v>7.7657707841038981E-2</v>
      </c>
      <c r="G90" s="2">
        <f t="shared" ref="G90" si="129">IFERROR((G89/F89)-1, "N/A")</f>
        <v>-0.20568231852814822</v>
      </c>
      <c r="H90" s="2">
        <f t="shared" ref="H90:L90" si="130">IFERROR((H89/G89)-1, "N/A")</f>
        <v>4.0831950256528415E-2</v>
      </c>
      <c r="I90" s="2">
        <f t="shared" si="130"/>
        <v>0.13532025789874202</v>
      </c>
      <c r="J90" s="2">
        <f t="shared" si="130"/>
        <v>-7.981221781834491E-2</v>
      </c>
      <c r="K90" s="2">
        <f t="shared" si="130"/>
        <v>0.11111245425501703</v>
      </c>
      <c r="L90" s="2">
        <f t="shared" si="130"/>
        <v>-0.76400219369395073</v>
      </c>
      <c r="M90" s="2">
        <f t="shared" ref="M90" si="131">IFERROR((M89/H89)-1, "N/A")</f>
        <v>-0.72605660645660153</v>
      </c>
    </row>
    <row r="91" spans="1:14" x14ac:dyDescent="0.3">
      <c r="A91" s="274" t="s">
        <v>525</v>
      </c>
      <c r="B91" s="275"/>
      <c r="C91" s="275"/>
      <c r="D91" s="275"/>
      <c r="E91" s="275"/>
      <c r="F91" s="275"/>
      <c r="G91" s="275"/>
      <c r="H91" s="275"/>
      <c r="I91" s="275"/>
      <c r="J91" s="275"/>
      <c r="K91" s="275"/>
      <c r="L91" s="275"/>
      <c r="M91" s="275"/>
      <c r="N91" s="274"/>
    </row>
    <row r="92" spans="1:14" x14ac:dyDescent="0.3">
      <c r="A92" s="13" t="s">
        <v>493</v>
      </c>
      <c r="B92" s="12">
        <f>'Cost Analysis US$'!B11</f>
        <v>2574.2824139236454</v>
      </c>
      <c r="C92" s="12">
        <f>'Cost Analysis US$'!C11</f>
        <v>3413.1246018021297</v>
      </c>
      <c r="D92" s="12">
        <f>'Cost Analysis US$'!D11</f>
        <v>3562.2824216718018</v>
      </c>
      <c r="E92" s="12">
        <f>'Cost Analysis US$'!E11</f>
        <v>3431.7343173431732</v>
      </c>
      <c r="F92" s="12">
        <f>'Cost Analysis US$'!F11</f>
        <v>3600.4612280196025</v>
      </c>
      <c r="G92" s="12">
        <f>'Cost Analysis US$'!G11</f>
        <v>1928.5708695005596</v>
      </c>
      <c r="H92" s="12">
        <f>'Cost Analysis US$'!H11</f>
        <v>1719.6885092511545</v>
      </c>
      <c r="I92" s="12">
        <f>'Cost Analysis US$'!I11</f>
        <v>2254.783882718767</v>
      </c>
      <c r="J92" s="12">
        <f>'Cost Analysis US$'!J11</f>
        <v>3062.5756010426103</v>
      </c>
      <c r="K92" s="12">
        <f>'Cost Analysis US$'!K11</f>
        <v>2910.5433717687843</v>
      </c>
      <c r="L92" s="12">
        <f>'Cost Analysis US$'!M11</f>
        <v>845.5259510241799</v>
      </c>
      <c r="M92" s="12">
        <f>'Cost Analysis US$'!M11</f>
        <v>845.5259510241799</v>
      </c>
    </row>
    <row r="93" spans="1:14" x14ac:dyDescent="0.3">
      <c r="A93" s="13" t="s">
        <v>494</v>
      </c>
      <c r="B93" s="12">
        <f t="shared" ref="B93" si="132">B24</f>
        <v>0</v>
      </c>
      <c r="C93" s="12">
        <f t="shared" ref="C93:M93" si="133">C24</f>
        <v>0</v>
      </c>
      <c r="D93" s="12">
        <f t="shared" si="133"/>
        <v>0</v>
      </c>
      <c r="E93" s="12">
        <f t="shared" si="133"/>
        <v>0</v>
      </c>
      <c r="F93" s="12">
        <f t="shared" si="133"/>
        <v>0</v>
      </c>
      <c r="G93" s="12">
        <f t="shared" si="133"/>
        <v>0</v>
      </c>
      <c r="H93" s="12">
        <f t="shared" si="133"/>
        <v>0</v>
      </c>
      <c r="I93" s="12">
        <f t="shared" si="133"/>
        <v>0</v>
      </c>
      <c r="J93" s="12">
        <f t="shared" si="133"/>
        <v>0</v>
      </c>
      <c r="K93" s="12">
        <f t="shared" ref="K93:L93" si="134">K24</f>
        <v>0</v>
      </c>
      <c r="L93" s="12">
        <f t="shared" si="134"/>
        <v>0</v>
      </c>
      <c r="M93" s="12">
        <f t="shared" si="133"/>
        <v>0</v>
      </c>
    </row>
    <row r="94" spans="1:14" x14ac:dyDescent="0.3">
      <c r="A94" s="13" t="s">
        <v>495</v>
      </c>
      <c r="B94" s="12">
        <f t="shared" ref="B94" si="135">B25</f>
        <v>3791</v>
      </c>
      <c r="C94" s="12">
        <f t="shared" ref="C94:M94" si="136">C25</f>
        <v>3937</v>
      </c>
      <c r="D94" s="12">
        <f t="shared" si="136"/>
        <v>3976</v>
      </c>
      <c r="E94" s="12">
        <f t="shared" si="136"/>
        <v>3993</v>
      </c>
      <c r="F94" s="12">
        <f t="shared" si="136"/>
        <v>4213</v>
      </c>
      <c r="G94" s="12">
        <f t="shared" si="136"/>
        <v>4478</v>
      </c>
      <c r="H94" s="12">
        <f t="shared" si="136"/>
        <v>4837</v>
      </c>
      <c r="I94" s="12">
        <f t="shared" si="136"/>
        <v>5331.8879999999999</v>
      </c>
      <c r="J94" s="12">
        <f t="shared" si="136"/>
        <v>5597.232</v>
      </c>
      <c r="K94" s="12">
        <f t="shared" ref="K94:L94" si="137">K25</f>
        <v>5713.924</v>
      </c>
      <c r="L94" s="12">
        <f t="shared" si="137"/>
        <v>2153.7640000000001</v>
      </c>
      <c r="M94" s="12">
        <f t="shared" si="136"/>
        <v>1688.7669999999998</v>
      </c>
    </row>
    <row r="95" spans="1:14" x14ac:dyDescent="0.3">
      <c r="A95" s="13" t="s">
        <v>496</v>
      </c>
      <c r="B95" s="12">
        <f t="shared" ref="B95" si="138">B26</f>
        <v>0</v>
      </c>
      <c r="C95" s="12">
        <f t="shared" ref="C95:M95" si="139">C26</f>
        <v>0</v>
      </c>
      <c r="D95" s="12">
        <f t="shared" si="139"/>
        <v>0</v>
      </c>
      <c r="E95" s="12">
        <f t="shared" si="139"/>
        <v>0</v>
      </c>
      <c r="F95" s="12">
        <f t="shared" si="139"/>
        <v>0</v>
      </c>
      <c r="G95" s="12">
        <f t="shared" si="139"/>
        <v>0</v>
      </c>
      <c r="H95" s="12">
        <f t="shared" si="139"/>
        <v>0</v>
      </c>
      <c r="I95" s="12">
        <f t="shared" si="139"/>
        <v>0</v>
      </c>
      <c r="J95" s="12">
        <f t="shared" si="139"/>
        <v>0</v>
      </c>
      <c r="K95" s="12">
        <f t="shared" ref="K95:L95" si="140">K26</f>
        <v>0</v>
      </c>
      <c r="L95" s="12">
        <f t="shared" si="140"/>
        <v>0</v>
      </c>
      <c r="M95" s="12">
        <f t="shared" si="139"/>
        <v>0</v>
      </c>
    </row>
    <row r="96" spans="1:14" x14ac:dyDescent="0.3">
      <c r="A96" s="13" t="s">
        <v>497</v>
      </c>
      <c r="B96" s="12"/>
      <c r="C96" s="12"/>
      <c r="D96" s="12"/>
      <c r="E96" s="12"/>
      <c r="F96" s="12"/>
      <c r="G96" s="12"/>
      <c r="H96" s="12"/>
      <c r="I96" s="12"/>
      <c r="J96" s="12"/>
      <c r="K96" s="12"/>
      <c r="L96" s="12"/>
      <c r="M96" s="12"/>
    </row>
    <row r="97" spans="1:14" x14ac:dyDescent="0.3">
      <c r="A97" s="13" t="s">
        <v>501</v>
      </c>
      <c r="B97" s="263">
        <v>0.29423347398031002</v>
      </c>
      <c r="C97" s="263">
        <v>0.29423347398031002</v>
      </c>
      <c r="D97" s="263">
        <v>0.29423347398031002</v>
      </c>
      <c r="E97" s="263">
        <v>0.29423347398031002</v>
      </c>
      <c r="F97" s="263">
        <v>0.29423347398031002</v>
      </c>
      <c r="G97" s="263">
        <v>0.29423347398031002</v>
      </c>
      <c r="H97" s="263">
        <v>0.29423347398031002</v>
      </c>
      <c r="I97" s="263">
        <v>1.2942334739803101</v>
      </c>
      <c r="J97" s="263">
        <v>2.2942334739803099</v>
      </c>
      <c r="K97" s="263">
        <v>2.2942334739803099</v>
      </c>
      <c r="L97" s="263">
        <v>2.2942334739803099</v>
      </c>
      <c r="M97" s="263">
        <v>0.29423347398031002</v>
      </c>
    </row>
    <row r="98" spans="1:14" x14ac:dyDescent="0.3">
      <c r="A98" s="13" t="s">
        <v>502</v>
      </c>
      <c r="B98" s="263">
        <v>0.26417200000000002</v>
      </c>
      <c r="C98" s="263">
        <v>0.26417200000000002</v>
      </c>
      <c r="D98" s="263">
        <v>0.26417200000000002</v>
      </c>
      <c r="E98" s="263">
        <v>0.26417200000000002</v>
      </c>
      <c r="F98" s="263">
        <v>0.26417200000000002</v>
      </c>
      <c r="G98" s="263">
        <v>0.26417200000000002</v>
      </c>
      <c r="H98" s="263">
        <v>0.26417200000000002</v>
      </c>
      <c r="I98" s="263">
        <v>1.2641720000000001</v>
      </c>
      <c r="J98" s="263">
        <v>2.2641719999999999</v>
      </c>
      <c r="K98" s="263">
        <v>2.2641719999999999</v>
      </c>
      <c r="L98" s="263">
        <v>2.2641719999999999</v>
      </c>
      <c r="M98" s="263">
        <v>0.26417200000000002</v>
      </c>
    </row>
    <row r="99" spans="1:14" x14ac:dyDescent="0.3">
      <c r="A99" s="13" t="s">
        <v>498</v>
      </c>
      <c r="B99" s="263"/>
      <c r="C99" s="263"/>
      <c r="D99" s="263"/>
      <c r="E99" s="263"/>
      <c r="F99" s="263"/>
      <c r="G99" s="263"/>
      <c r="H99" s="4">
        <f t="shared" ref="H99:M99" si="141">H94*H98</f>
        <v>1277.799964</v>
      </c>
      <c r="I99" s="4">
        <f t="shared" si="141"/>
        <v>6740.4235167360002</v>
      </c>
      <c r="J99" s="4">
        <f t="shared" si="141"/>
        <v>12673.095971903998</v>
      </c>
      <c r="K99" s="4">
        <f t="shared" si="141"/>
        <v>12937.306730928</v>
      </c>
      <c r="L99" s="4">
        <f t="shared" si="141"/>
        <v>4876.4921434079997</v>
      </c>
      <c r="M99" s="4">
        <f t="shared" si="141"/>
        <v>446.12495592400001</v>
      </c>
    </row>
    <row r="100" spans="1:14" x14ac:dyDescent="0.3">
      <c r="A100" s="13" t="s">
        <v>499</v>
      </c>
      <c r="B100" s="4">
        <f t="shared" ref="B100:G100" si="142">B95*B97</f>
        <v>0</v>
      </c>
      <c r="C100" s="4">
        <f t="shared" si="142"/>
        <v>0</v>
      </c>
      <c r="D100" s="4">
        <f t="shared" si="142"/>
        <v>0</v>
      </c>
      <c r="E100" s="4">
        <f t="shared" si="142"/>
        <v>0</v>
      </c>
      <c r="F100" s="4">
        <f t="shared" si="142"/>
        <v>0</v>
      </c>
      <c r="G100" s="4">
        <f t="shared" si="142"/>
        <v>0</v>
      </c>
      <c r="H100" s="4">
        <f t="shared" ref="H100:M100" si="143">H95*H97</f>
        <v>0</v>
      </c>
      <c r="I100" s="4">
        <f t="shared" si="143"/>
        <v>0</v>
      </c>
      <c r="J100" s="4">
        <f t="shared" si="143"/>
        <v>0</v>
      </c>
      <c r="K100" s="4">
        <f t="shared" si="143"/>
        <v>0</v>
      </c>
      <c r="L100" s="4">
        <f t="shared" si="143"/>
        <v>0</v>
      </c>
      <c r="M100" s="4">
        <f t="shared" si="143"/>
        <v>0</v>
      </c>
    </row>
    <row r="101" spans="1:14" x14ac:dyDescent="0.3">
      <c r="B101" s="4"/>
      <c r="C101" s="4"/>
      <c r="D101" s="4"/>
      <c r="E101" s="4"/>
      <c r="F101" s="4"/>
      <c r="G101" s="4"/>
      <c r="H101" s="4"/>
      <c r="I101" s="4"/>
      <c r="J101" s="4"/>
      <c r="K101" s="4"/>
      <c r="L101" s="4"/>
      <c r="M101" s="4"/>
    </row>
    <row r="102" spans="1:14" x14ac:dyDescent="0.3">
      <c r="A102" s="13" t="s">
        <v>494</v>
      </c>
      <c r="B102" s="33"/>
      <c r="C102" s="33"/>
      <c r="D102" s="33"/>
      <c r="E102" s="33"/>
      <c r="F102" s="33"/>
      <c r="G102" s="33"/>
      <c r="H102" s="269"/>
      <c r="I102" s="269"/>
      <c r="J102" s="269"/>
      <c r="K102" s="269"/>
      <c r="L102" s="269"/>
      <c r="M102" s="33"/>
    </row>
    <row r="103" spans="1:14" s="11" customFormat="1" x14ac:dyDescent="0.3">
      <c r="A103" s="11" t="s">
        <v>500</v>
      </c>
      <c r="B103" s="264">
        <f>IFERROR(B102/B33,"")</f>
        <v>0</v>
      </c>
      <c r="C103" s="264">
        <f t="shared" ref="C103:M103" si="144">IFERROR(C100/C33,"")</f>
        <v>0</v>
      </c>
      <c r="D103" s="264">
        <f t="shared" si="144"/>
        <v>0</v>
      </c>
      <c r="E103" s="264">
        <f t="shared" si="144"/>
        <v>0</v>
      </c>
      <c r="F103" s="264">
        <f t="shared" si="144"/>
        <v>0</v>
      </c>
      <c r="G103" s="264">
        <f t="shared" si="144"/>
        <v>0</v>
      </c>
      <c r="H103" s="264">
        <f t="shared" si="144"/>
        <v>0</v>
      </c>
      <c r="I103" s="264">
        <f t="shared" si="144"/>
        <v>0</v>
      </c>
      <c r="J103" s="264">
        <f t="shared" si="144"/>
        <v>0</v>
      </c>
      <c r="K103" s="264">
        <f t="shared" ref="K103:L103" si="145">IFERROR(K100/K33,"")</f>
        <v>0</v>
      </c>
      <c r="L103" s="264">
        <f t="shared" si="145"/>
        <v>0</v>
      </c>
      <c r="M103" s="264">
        <f t="shared" si="144"/>
        <v>0</v>
      </c>
    </row>
    <row r="104" spans="1:14" s="11" customFormat="1" x14ac:dyDescent="0.3">
      <c r="A104" s="11" t="s">
        <v>503</v>
      </c>
      <c r="B104" s="77" t="str">
        <f>IFERROR(B92/B102,"")</f>
        <v/>
      </c>
      <c r="C104" s="77" t="str">
        <f t="shared" ref="C104:M104" si="146">IFERROR(C92/C102,"")</f>
        <v/>
      </c>
      <c r="D104" s="77" t="str">
        <f t="shared" si="146"/>
        <v/>
      </c>
      <c r="E104" s="77" t="str">
        <f t="shared" si="146"/>
        <v/>
      </c>
      <c r="F104" s="77" t="str">
        <f t="shared" si="146"/>
        <v/>
      </c>
      <c r="G104" s="77" t="str">
        <f t="shared" si="146"/>
        <v/>
      </c>
      <c r="H104" s="77" t="str">
        <f t="shared" si="146"/>
        <v/>
      </c>
      <c r="I104" s="77" t="str">
        <f t="shared" si="146"/>
        <v/>
      </c>
      <c r="J104" s="77" t="str">
        <f t="shared" si="146"/>
        <v/>
      </c>
      <c r="K104" s="77" t="str">
        <f t="shared" ref="K104:L104" si="147">IFERROR(K92/K102,"")</f>
        <v/>
      </c>
      <c r="L104" s="77" t="str">
        <f t="shared" si="147"/>
        <v/>
      </c>
      <c r="M104" s="77" t="str">
        <f t="shared" si="146"/>
        <v/>
      </c>
    </row>
    <row r="105" spans="1:14" x14ac:dyDescent="0.3">
      <c r="B105" s="2" t="str">
        <f t="shared" ref="B105" si="148">IFERROR((B104/A104)-1, "N/A")</f>
        <v>N/A</v>
      </c>
      <c r="C105" s="2" t="str">
        <f t="shared" ref="C105" si="149">IFERROR((C104/B104)-1, "N/A")</f>
        <v>N/A</v>
      </c>
      <c r="D105" s="2" t="str">
        <f t="shared" ref="D105" si="150">IFERROR((D104/C104)-1, "N/A")</f>
        <v>N/A</v>
      </c>
      <c r="E105" s="2" t="str">
        <f t="shared" ref="E105" si="151">IFERROR((E104/D104)-1, "N/A")</f>
        <v>N/A</v>
      </c>
      <c r="F105" s="2" t="str">
        <f t="shared" ref="F105" si="152">IFERROR((F104/E104)-1, "N/A")</f>
        <v>N/A</v>
      </c>
      <c r="G105" s="2" t="str">
        <f t="shared" ref="G105" si="153">IFERROR((G104/F104)-1, "N/A")</f>
        <v>N/A</v>
      </c>
      <c r="H105" s="2" t="str">
        <f t="shared" ref="H105:L105" si="154">IFERROR((H104/G104)-1, "N/A")</f>
        <v>N/A</v>
      </c>
      <c r="I105" s="2" t="str">
        <f t="shared" si="154"/>
        <v>N/A</v>
      </c>
      <c r="J105" s="2" t="str">
        <f t="shared" si="154"/>
        <v>N/A</v>
      </c>
      <c r="K105" s="2" t="str">
        <f t="shared" si="154"/>
        <v>N/A</v>
      </c>
      <c r="L105" s="2" t="str">
        <f t="shared" si="154"/>
        <v>N/A</v>
      </c>
      <c r="M105" s="2" t="str">
        <f t="shared" ref="M105" si="155">IFERROR((M104/H104)-1, "N/A")</f>
        <v>N/A</v>
      </c>
    </row>
    <row r="106" spans="1:14" x14ac:dyDescent="0.3">
      <c r="A106" s="274" t="s">
        <v>526</v>
      </c>
      <c r="B106" s="274"/>
      <c r="C106" s="274"/>
      <c r="D106" s="274"/>
      <c r="E106" s="274"/>
      <c r="F106" s="274"/>
      <c r="G106" s="274"/>
      <c r="H106" s="274"/>
      <c r="I106" s="274"/>
      <c r="J106" s="274"/>
      <c r="K106" s="274"/>
      <c r="L106" s="274"/>
      <c r="M106" s="274"/>
      <c r="N106" s="274"/>
    </row>
    <row r="107" spans="1:14" x14ac:dyDescent="0.3">
      <c r="A107" s="13" t="s">
        <v>505</v>
      </c>
      <c r="B107" s="12">
        <f>'Cost Analysis US$'!B9</f>
        <v>1829.7595589163166</v>
      </c>
      <c r="C107" s="12">
        <f>'Cost Analysis US$'!C9</f>
        <v>2013.4906910186787</v>
      </c>
      <c r="D107" s="12">
        <f>'Cost Analysis US$'!D9</f>
        <v>1985.7148573486456</v>
      </c>
      <c r="E107" s="12">
        <f>'Cost Analysis US$'!E9</f>
        <v>2102.3499708681297</v>
      </c>
      <c r="F107" s="12">
        <f>'Cost Analysis US$'!F9</f>
        <v>2192.7548765254155</v>
      </c>
      <c r="G107" s="12">
        <f>'Cost Analysis US$'!G9</f>
        <v>1818.9929791880277</v>
      </c>
      <c r="H107" s="12">
        <f>'Cost Analysis US$'!H9</f>
        <v>1893.9965591138209</v>
      </c>
      <c r="I107" s="12">
        <f>'Cost Analysis US$'!I9</f>
        <v>2057.5769561810134</v>
      </c>
      <c r="J107" s="12">
        <f>'Cost Analysis US$'!J9</f>
        <v>2216.8757122185489</v>
      </c>
      <c r="K107" s="12">
        <f>'Cost Analysis US$'!K9</f>
        <v>2399.5779636747307</v>
      </c>
      <c r="L107" s="12">
        <f>'Cost Analysis US$'!M9</f>
        <v>1379.1775758509164</v>
      </c>
      <c r="M107" s="12">
        <f>'Cost Analysis US$'!M9</f>
        <v>1379.1775758509164</v>
      </c>
    </row>
    <row r="108" spans="1:14" x14ac:dyDescent="0.3">
      <c r="A108" s="13" t="s">
        <v>504</v>
      </c>
      <c r="B108" s="12">
        <f>B16</f>
        <v>0</v>
      </c>
      <c r="C108" s="12">
        <f t="shared" ref="C108:M108" si="156">C16</f>
        <v>23500</v>
      </c>
      <c r="D108" s="12">
        <f t="shared" si="156"/>
        <v>23850</v>
      </c>
      <c r="E108" s="12">
        <f t="shared" si="156"/>
        <v>24250</v>
      </c>
      <c r="F108" s="12">
        <f t="shared" si="156"/>
        <v>24450</v>
      </c>
      <c r="G108" s="12">
        <f t="shared" si="156"/>
        <v>24650</v>
      </c>
      <c r="H108" s="12">
        <f t="shared" si="156"/>
        <v>25500</v>
      </c>
      <c r="I108" s="12">
        <f t="shared" si="156"/>
        <v>26950</v>
      </c>
      <c r="J108" s="12">
        <f t="shared" si="156"/>
        <v>28850</v>
      </c>
      <c r="K108" s="12">
        <f t="shared" ref="K108:L108" si="157">K16</f>
        <v>31400</v>
      </c>
      <c r="L108" s="12">
        <f t="shared" si="157"/>
        <v>27000</v>
      </c>
      <c r="M108" s="12">
        <f t="shared" si="156"/>
        <v>38687.5</v>
      </c>
    </row>
    <row r="109" spans="1:14" x14ac:dyDescent="0.3">
      <c r="A109" s="13" t="s">
        <v>620</v>
      </c>
      <c r="B109" s="2" t="str">
        <f t="shared" ref="B109" si="158">IFERROR((B108/A108)-1, "N/A")</f>
        <v>N/A</v>
      </c>
      <c r="C109" s="2" t="str">
        <f t="shared" ref="C109" si="159">IFERROR((C108/B108)-1, "N/A")</f>
        <v>N/A</v>
      </c>
      <c r="D109" s="2">
        <f t="shared" ref="D109" si="160">IFERROR((D108/C108)-1, "N/A")</f>
        <v>1.4893617021276562E-2</v>
      </c>
      <c r="E109" s="2">
        <f t="shared" ref="E109" si="161">IFERROR((E108/D108)-1, "N/A")</f>
        <v>1.6771488469601747E-2</v>
      </c>
      <c r="F109" s="2">
        <f t="shared" ref="F109" si="162">IFERROR((F108/E108)-1, "N/A")</f>
        <v>8.2474226804123418E-3</v>
      </c>
      <c r="G109" s="2">
        <f t="shared" ref="G109" si="163">IFERROR((G108/F108)-1, "N/A")</f>
        <v>8.1799591002045258E-3</v>
      </c>
      <c r="H109" s="2">
        <f t="shared" ref="H109:L109" si="164">IFERROR((H108/G108)-1, "N/A")</f>
        <v>3.4482758620689724E-2</v>
      </c>
      <c r="I109" s="2">
        <f t="shared" si="164"/>
        <v>5.6862745098039236E-2</v>
      </c>
      <c r="J109" s="2">
        <f t="shared" si="164"/>
        <v>7.0500927643784683E-2</v>
      </c>
      <c r="K109" s="2">
        <f t="shared" si="164"/>
        <v>8.8388214904679296E-2</v>
      </c>
      <c r="L109" s="2">
        <f t="shared" si="164"/>
        <v>-0.14012738853503182</v>
      </c>
      <c r="M109" s="2">
        <f t="shared" ref="M109" si="165">IFERROR((M108/H108)-1, "N/A")</f>
        <v>0.51715686274509798</v>
      </c>
    </row>
    <row r="110" spans="1:14" x14ac:dyDescent="0.3">
      <c r="A110" s="11" t="s">
        <v>506</v>
      </c>
      <c r="B110" s="79" t="str">
        <f>IFERROR((B107*1000000)/B108,"")</f>
        <v/>
      </c>
      <c r="C110" s="79">
        <f t="shared" ref="C110:M110" si="166">IFERROR((C107*1000000)/C108,"")</f>
        <v>85680.454936965049</v>
      </c>
      <c r="D110" s="79">
        <f t="shared" si="166"/>
        <v>83258.484584848877</v>
      </c>
      <c r="E110" s="79">
        <f t="shared" si="166"/>
        <v>86694.844159510511</v>
      </c>
      <c r="F110" s="79">
        <f t="shared" si="166"/>
        <v>89683.226033759318</v>
      </c>
      <c r="G110" s="79">
        <f t="shared" si="166"/>
        <v>73792.818628317546</v>
      </c>
      <c r="H110" s="79">
        <f t="shared" si="166"/>
        <v>74274.374867208666</v>
      </c>
      <c r="I110" s="79">
        <f t="shared" si="166"/>
        <v>76347.939004861342</v>
      </c>
      <c r="J110" s="79">
        <f t="shared" si="166"/>
        <v>76841.445830798912</v>
      </c>
      <c r="K110" s="79">
        <f t="shared" ref="K110:L110" si="167">IFERROR((K107*1000000)/K108,"")</f>
        <v>76419.680371806709</v>
      </c>
      <c r="L110" s="79">
        <f t="shared" si="167"/>
        <v>51080.65095744135</v>
      </c>
      <c r="M110" s="79">
        <f t="shared" si="166"/>
        <v>35649.178051073766</v>
      </c>
    </row>
    <row r="111" spans="1:14" x14ac:dyDescent="0.3">
      <c r="A111" s="13" t="s">
        <v>620</v>
      </c>
      <c r="B111" s="2" t="str">
        <f>IFERROR((B110/A110)-1, "N/A")</f>
        <v>N/A</v>
      </c>
      <c r="C111" s="2" t="str">
        <f t="shared" ref="C111" si="168">IFERROR((C110/B110)-1, "N/A")</f>
        <v>N/A</v>
      </c>
      <c r="D111" s="2">
        <f t="shared" ref="D111" si="169">IFERROR((D110/C110)-1, "N/A")</f>
        <v>-2.826747773337579E-2</v>
      </c>
      <c r="E111" s="2">
        <f t="shared" ref="E111" si="170">IFERROR((E110/D110)-1, "N/A")</f>
        <v>4.1273386031421611E-2</v>
      </c>
      <c r="F111" s="2">
        <f t="shared" ref="F111" si="171">IFERROR((F110/E110)-1, "N/A")</f>
        <v>3.447012222261403E-2</v>
      </c>
      <c r="G111" s="2">
        <f t="shared" ref="G111" si="172">IFERROR((G110/F110)-1, "N/A")</f>
        <v>-0.17718371771617769</v>
      </c>
      <c r="H111" s="2">
        <f t="shared" ref="H111:L111" si="173">IFERROR((H110/G110)-1, "N/A")</f>
        <v>6.5257873034589853E-3</v>
      </c>
      <c r="I111" s="2">
        <f t="shared" si="173"/>
        <v>2.7917624905761773E-2</v>
      </c>
      <c r="J111" s="2">
        <f t="shared" si="173"/>
        <v>6.4639181144909852E-3</v>
      </c>
      <c r="K111" s="2">
        <f t="shared" si="173"/>
        <v>-5.4887756786996533E-3</v>
      </c>
      <c r="L111" s="2">
        <f t="shared" si="173"/>
        <v>-0.33157727552749117</v>
      </c>
      <c r="M111" s="2">
        <f t="shared" ref="M111" si="174">IFERROR((M110/H110)-1, "N/A")</f>
        <v>-0.52003395363731975</v>
      </c>
    </row>
    <row r="112" spans="1:14" x14ac:dyDescent="0.3">
      <c r="A112" s="11" t="s">
        <v>586</v>
      </c>
      <c r="B112" s="79">
        <f>B123</f>
        <v>0</v>
      </c>
      <c r="C112" s="79">
        <f t="shared" ref="C112:H112" si="175">C123</f>
        <v>340</v>
      </c>
      <c r="D112" s="79">
        <f t="shared" si="175"/>
        <v>351.5</v>
      </c>
      <c r="E112" s="79">
        <f t="shared" si="175"/>
        <v>351.5</v>
      </c>
      <c r="F112" s="79">
        <f t="shared" si="175"/>
        <v>358</v>
      </c>
      <c r="G112" s="79">
        <f t="shared" si="175"/>
        <v>367</v>
      </c>
      <c r="H112" s="79">
        <f t="shared" si="175"/>
        <v>375.5</v>
      </c>
      <c r="I112" s="79">
        <f t="shared" ref="I112:J112" si="176">I123</f>
        <v>388</v>
      </c>
      <c r="J112" s="79">
        <f t="shared" si="176"/>
        <v>397.5</v>
      </c>
      <c r="K112" s="79">
        <f t="shared" ref="K112:L112" si="177">K123</f>
        <v>401.5</v>
      </c>
      <c r="L112" s="79">
        <f t="shared" si="177"/>
        <v>373.5</v>
      </c>
      <c r="M112" s="79"/>
    </row>
    <row r="113" spans="1:14" x14ac:dyDescent="0.3">
      <c r="A113" s="11" t="s">
        <v>587</v>
      </c>
      <c r="B113" s="79" t="str">
        <f>IFERROR(B108/B112,"")</f>
        <v/>
      </c>
      <c r="C113" s="79">
        <f t="shared" ref="C113:M113" si="178">IFERROR(C108/C112,"")</f>
        <v>69.117647058823536</v>
      </c>
      <c r="D113" s="79">
        <f t="shared" si="178"/>
        <v>67.852062588904701</v>
      </c>
      <c r="E113" s="79">
        <f t="shared" si="178"/>
        <v>68.990042674253203</v>
      </c>
      <c r="F113" s="79">
        <f t="shared" si="178"/>
        <v>68.296089385474858</v>
      </c>
      <c r="G113" s="79">
        <f t="shared" si="178"/>
        <v>67.166212534059952</v>
      </c>
      <c r="H113" s="79">
        <f t="shared" si="178"/>
        <v>67.909454061251665</v>
      </c>
      <c r="I113" s="79">
        <f t="shared" si="178"/>
        <v>69.458762886597938</v>
      </c>
      <c r="J113" s="79">
        <f t="shared" si="178"/>
        <v>72.578616352201252</v>
      </c>
      <c r="K113" s="79">
        <f t="shared" ref="K113:L113" si="179">IFERROR(K108/K112,"")</f>
        <v>78.206724782067255</v>
      </c>
      <c r="L113" s="79">
        <f t="shared" si="179"/>
        <v>72.289156626506028</v>
      </c>
      <c r="M113" s="79" t="str">
        <f t="shared" si="178"/>
        <v/>
      </c>
    </row>
    <row r="114" spans="1:14" x14ac:dyDescent="0.3">
      <c r="B114" s="12"/>
      <c r="C114" s="12"/>
      <c r="D114" s="12"/>
      <c r="E114" s="12"/>
      <c r="F114" s="12"/>
      <c r="G114" s="12"/>
      <c r="H114" s="12"/>
      <c r="I114" s="12"/>
      <c r="J114" s="12"/>
      <c r="K114" s="12"/>
      <c r="L114" s="12"/>
      <c r="M114" s="12"/>
    </row>
    <row r="115" spans="1:14" x14ac:dyDescent="0.3">
      <c r="A115" s="274" t="s">
        <v>533</v>
      </c>
      <c r="B115" s="275"/>
      <c r="C115" s="275"/>
      <c r="D115" s="275"/>
      <c r="E115" s="275"/>
      <c r="F115" s="275"/>
      <c r="G115" s="275"/>
      <c r="H115" s="275"/>
      <c r="I115" s="275"/>
      <c r="J115" s="275"/>
      <c r="K115" s="275"/>
      <c r="L115" s="275"/>
      <c r="M115" s="275"/>
      <c r="N115" s="274"/>
    </row>
    <row r="116" spans="1:14" x14ac:dyDescent="0.3">
      <c r="A116" s="13" t="s">
        <v>507</v>
      </c>
      <c r="B116" s="12">
        <f>B18</f>
        <v>328</v>
      </c>
      <c r="C116" s="12">
        <f t="shared" ref="C116:M116" si="180">C18</f>
        <v>352</v>
      </c>
      <c r="D116" s="12">
        <f t="shared" si="180"/>
        <v>351</v>
      </c>
      <c r="E116" s="12">
        <f t="shared" si="180"/>
        <v>352</v>
      </c>
      <c r="F116" s="12">
        <f t="shared" si="180"/>
        <v>364</v>
      </c>
      <c r="G116" s="12">
        <f t="shared" si="180"/>
        <v>370</v>
      </c>
      <c r="H116" s="12">
        <f t="shared" si="180"/>
        <v>381</v>
      </c>
      <c r="I116" s="12">
        <f t="shared" si="180"/>
        <v>395</v>
      </c>
      <c r="J116" s="12">
        <f t="shared" si="180"/>
        <v>400</v>
      </c>
      <c r="K116" s="12">
        <f t="shared" ref="K116:L116" si="181">K18</f>
        <v>403</v>
      </c>
      <c r="L116" s="12">
        <f t="shared" si="181"/>
        <v>344</v>
      </c>
      <c r="M116" s="12">
        <f t="shared" si="180"/>
        <v>337</v>
      </c>
    </row>
    <row r="117" spans="1:14" x14ac:dyDescent="0.3">
      <c r="A117" s="13" t="s">
        <v>508</v>
      </c>
      <c r="B117" s="33"/>
      <c r="C117" s="33"/>
      <c r="D117" s="33"/>
      <c r="E117" s="33"/>
      <c r="F117" s="33"/>
      <c r="G117" s="33"/>
      <c r="H117" s="33"/>
      <c r="I117" s="33"/>
      <c r="J117" s="33"/>
      <c r="K117" s="33"/>
      <c r="L117" s="33"/>
      <c r="M117" s="33"/>
    </row>
    <row r="118" spans="1:14" x14ac:dyDescent="0.3">
      <c r="A118" s="13" t="s">
        <v>509</v>
      </c>
      <c r="B118" s="33"/>
      <c r="C118" s="33"/>
      <c r="D118" s="33"/>
      <c r="E118" s="33"/>
      <c r="F118" s="33"/>
      <c r="G118" s="33"/>
      <c r="H118" s="33"/>
      <c r="I118" s="33"/>
      <c r="J118" s="33"/>
      <c r="K118" s="33"/>
      <c r="L118" s="33"/>
      <c r="M118" s="33"/>
    </row>
    <row r="119" spans="1:14" x14ac:dyDescent="0.3">
      <c r="A119" s="13" t="s">
        <v>510</v>
      </c>
      <c r="B119" s="33"/>
      <c r="C119" s="33"/>
      <c r="D119" s="33"/>
      <c r="E119" s="33"/>
      <c r="F119" s="33"/>
      <c r="G119" s="33"/>
      <c r="H119" s="33"/>
      <c r="I119" s="33"/>
      <c r="J119" s="33"/>
      <c r="K119" s="33"/>
      <c r="L119" s="33"/>
      <c r="M119" s="33"/>
    </row>
    <row r="120" spans="1:14" x14ac:dyDescent="0.3">
      <c r="A120" s="13" t="s">
        <v>511</v>
      </c>
      <c r="B120" s="33"/>
      <c r="C120" s="33"/>
      <c r="D120" s="33"/>
      <c r="E120" s="33"/>
      <c r="F120" s="33"/>
      <c r="G120" s="33"/>
      <c r="H120" s="33"/>
      <c r="I120" s="33"/>
      <c r="J120" s="33"/>
      <c r="K120" s="33"/>
      <c r="L120" s="33"/>
      <c r="M120" s="33"/>
    </row>
    <row r="121" spans="1:14" x14ac:dyDescent="0.3">
      <c r="A121" s="13" t="s">
        <v>341</v>
      </c>
      <c r="B121" s="33"/>
      <c r="C121" s="33"/>
      <c r="D121" s="33"/>
      <c r="E121" s="33"/>
      <c r="F121" s="33"/>
      <c r="G121" s="33"/>
      <c r="H121" s="33"/>
      <c r="I121" s="33"/>
      <c r="J121" s="33"/>
      <c r="K121" s="33"/>
      <c r="L121" s="33"/>
      <c r="M121" s="33"/>
    </row>
    <row r="122" spans="1:14" x14ac:dyDescent="0.3">
      <c r="B122" s="12"/>
      <c r="C122" s="12"/>
      <c r="D122" s="12"/>
      <c r="E122" s="12"/>
      <c r="F122" s="12"/>
      <c r="G122" s="12"/>
      <c r="H122" s="12"/>
      <c r="I122" s="12"/>
      <c r="J122" s="12"/>
      <c r="K122" s="12"/>
      <c r="L122" s="12"/>
      <c r="M122" s="12"/>
    </row>
    <row r="123" spans="1:14" x14ac:dyDescent="0.3">
      <c r="A123" s="13" t="s">
        <v>512</v>
      </c>
      <c r="B123" s="12"/>
      <c r="C123" s="12">
        <f>AVERAGE(B116:C116)</f>
        <v>340</v>
      </c>
      <c r="D123" s="12">
        <f t="shared" ref="D123:L123" si="182">AVERAGE(C116:D116)</f>
        <v>351.5</v>
      </c>
      <c r="E123" s="12">
        <f t="shared" si="182"/>
        <v>351.5</v>
      </c>
      <c r="F123" s="12">
        <f t="shared" si="182"/>
        <v>358</v>
      </c>
      <c r="G123" s="12">
        <f>AVERAGE(F116:G116)</f>
        <v>367</v>
      </c>
      <c r="H123" s="12">
        <f t="shared" si="182"/>
        <v>375.5</v>
      </c>
      <c r="I123" s="12">
        <f t="shared" si="182"/>
        <v>388</v>
      </c>
      <c r="J123" s="12">
        <f t="shared" si="182"/>
        <v>397.5</v>
      </c>
      <c r="K123" s="12">
        <f t="shared" si="182"/>
        <v>401.5</v>
      </c>
      <c r="L123" s="12">
        <f t="shared" si="182"/>
        <v>373.5</v>
      </c>
      <c r="M123" s="12">
        <f>AVERAGE(H116:M116)</f>
        <v>376.66666666666669</v>
      </c>
    </row>
    <row r="124" spans="1:14" x14ac:dyDescent="0.3">
      <c r="A124" s="13" t="s">
        <v>513</v>
      </c>
      <c r="B124" s="12">
        <f>'Cost Analysis US$'!B13</f>
        <v>657.16032964792907</v>
      </c>
      <c r="C124" s="12">
        <f>'Cost Analysis US$'!C13</f>
        <v>688.69269743029645</v>
      </c>
      <c r="D124" s="12">
        <f>'Cost Analysis US$'!D13</f>
        <v>672.24200712256413</v>
      </c>
      <c r="E124" s="12">
        <f>'Cost Analysis US$'!E13</f>
        <v>613.71140027189745</v>
      </c>
      <c r="F124" s="12">
        <f>'Cost Analysis US$'!F13</f>
        <v>699.52916306332281</v>
      </c>
      <c r="G124" s="12">
        <f>'Cost Analysis US$'!G13</f>
        <v>605.02649436847912</v>
      </c>
      <c r="H124" s="12">
        <f>'Cost Analysis US$'!H13</f>
        <v>664.03066614349098</v>
      </c>
      <c r="I124" s="12">
        <f>'Cost Analysis US$'!I13</f>
        <v>722.57850426723724</v>
      </c>
      <c r="J124" s="12">
        <f>'Cost Analysis US$'!J13</f>
        <v>696.77645949646694</v>
      </c>
      <c r="K124" s="12">
        <f>'Cost Analysis US$'!K13</f>
        <v>756.65084030446906</v>
      </c>
      <c r="L124" s="12">
        <f>'Cost Analysis US$'!M13</f>
        <v>473.58693978130293</v>
      </c>
      <c r="M124" s="12">
        <f>'Cost Analysis US$'!M13</f>
        <v>473.58693978130293</v>
      </c>
    </row>
    <row r="125" spans="1:14" x14ac:dyDescent="0.3">
      <c r="A125" s="13" t="s">
        <v>514</v>
      </c>
      <c r="B125" s="12"/>
      <c r="C125" s="4">
        <f>IFERROR(C124/C123,"")</f>
        <v>2.0255667571479306</v>
      </c>
      <c r="D125" s="4">
        <f t="shared" ref="D125:M125" si="183">IFERROR(D124/D123,"")</f>
        <v>1.9124950416004669</v>
      </c>
      <c r="E125" s="4">
        <f t="shared" si="183"/>
        <v>1.745978379151913</v>
      </c>
      <c r="F125" s="4">
        <f t="shared" si="183"/>
        <v>1.9539920755958737</v>
      </c>
      <c r="G125" s="4">
        <f t="shared" si="183"/>
        <v>1.6485735541375452</v>
      </c>
      <c r="H125" s="4">
        <f t="shared" si="183"/>
        <v>1.768390588930735</v>
      </c>
      <c r="I125" s="4">
        <f t="shared" si="183"/>
        <v>1.8623157326475186</v>
      </c>
      <c r="J125" s="4">
        <f t="shared" si="183"/>
        <v>1.7528967534502313</v>
      </c>
      <c r="K125" s="4">
        <f t="shared" ref="K125:L125" si="184">IFERROR(K124/K123,"")</f>
        <v>1.884560000758329</v>
      </c>
      <c r="L125" s="4">
        <f t="shared" si="184"/>
        <v>1.2679703876340105</v>
      </c>
      <c r="M125" s="4">
        <f t="shared" si="183"/>
        <v>1.2573104595963793</v>
      </c>
      <c r="N125" s="285"/>
    </row>
    <row r="126" spans="1:14" x14ac:dyDescent="0.3">
      <c r="A126" s="11" t="s">
        <v>516</v>
      </c>
      <c r="B126" s="79"/>
      <c r="C126" s="77">
        <f>IFERROR(C125/12,"")</f>
        <v>0.16879722976232756</v>
      </c>
      <c r="D126" s="77">
        <f t="shared" ref="D126:M126" si="185">IFERROR(D125/12,"")</f>
        <v>0.15937458680003891</v>
      </c>
      <c r="E126" s="77">
        <f t="shared" si="185"/>
        <v>0.14549819826265942</v>
      </c>
      <c r="F126" s="77">
        <f t="shared" si="185"/>
        <v>0.16283267296632281</v>
      </c>
      <c r="G126" s="77">
        <f t="shared" si="185"/>
        <v>0.13738112951146211</v>
      </c>
      <c r="H126" s="77">
        <f t="shared" si="185"/>
        <v>0.14736588241089457</v>
      </c>
      <c r="I126" s="77">
        <f t="shared" si="185"/>
        <v>0.15519297772062654</v>
      </c>
      <c r="J126" s="77">
        <f t="shared" si="185"/>
        <v>0.14607472945418595</v>
      </c>
      <c r="K126" s="77">
        <f t="shared" ref="K126:L126" si="186">IFERROR(K125/12,"")</f>
        <v>0.15704666672986076</v>
      </c>
      <c r="L126" s="77">
        <f t="shared" si="186"/>
        <v>0.10566419896950087</v>
      </c>
      <c r="M126" s="77">
        <f t="shared" si="185"/>
        <v>0.10477587163303161</v>
      </c>
      <c r="N126" s="286"/>
    </row>
    <row r="127" spans="1:14" x14ac:dyDescent="0.3">
      <c r="A127" s="13" t="s">
        <v>620</v>
      </c>
      <c r="B127" s="2" t="str">
        <f t="shared" ref="B127" si="187">IFERROR((B126/A126)-1, "N/A")</f>
        <v>N/A</v>
      </c>
      <c r="C127" s="2" t="str">
        <f t="shared" ref="C127" si="188">IFERROR((C126/B126)-1, "N/A")</f>
        <v>N/A</v>
      </c>
      <c r="D127" s="2">
        <f t="shared" ref="D127" si="189">IFERROR((D126/C126)-1, "N/A")</f>
        <v>-5.5822260682572011E-2</v>
      </c>
      <c r="E127" s="2">
        <f t="shared" ref="E127" si="190">IFERROR((E126/D126)-1, "N/A")</f>
        <v>-8.706776165506025E-2</v>
      </c>
      <c r="F127" s="2">
        <f t="shared" ref="F127" si="191">IFERROR((F126/E126)-1, "N/A")</f>
        <v>0.11913875849081301</v>
      </c>
      <c r="G127" s="2">
        <f t="shared" ref="G127" si="192">IFERROR((G126/F126)-1, "N/A")</f>
        <v>-0.15630489256983826</v>
      </c>
      <c r="H127" s="2">
        <f t="shared" ref="H127:L127" si="193">IFERROR((H126/G126)-1, "N/A")</f>
        <v>7.2679216825040083E-2</v>
      </c>
      <c r="I127" s="2">
        <f t="shared" si="193"/>
        <v>5.311334741584206E-2</v>
      </c>
      <c r="J127" s="2">
        <f t="shared" si="193"/>
        <v>-5.8754258087984956E-2</v>
      </c>
      <c r="K127" s="2">
        <f t="shared" si="193"/>
        <v>7.5111809665312279E-2</v>
      </c>
      <c r="L127" s="2">
        <f t="shared" si="193"/>
        <v>-0.32717961374337179</v>
      </c>
      <c r="M127" s="2">
        <f t="shared" ref="M127" si="194">IFERROR((M126/H126)-1, "N/A")</f>
        <v>-0.289008623170395</v>
      </c>
      <c r="N127" s="267"/>
    </row>
    <row r="128" spans="1:14" x14ac:dyDescent="0.3">
      <c r="A128" s="13" t="s">
        <v>515</v>
      </c>
      <c r="B128" s="5">
        <f t="shared" ref="B128:M128" si="195">B19</f>
        <v>0</v>
      </c>
      <c r="C128" s="5">
        <f t="shared" si="195"/>
        <v>0</v>
      </c>
      <c r="D128" s="5">
        <f t="shared" si="195"/>
        <v>0</v>
      </c>
      <c r="E128" s="5">
        <f t="shared" si="195"/>
        <v>0</v>
      </c>
      <c r="F128" s="5">
        <f t="shared" si="195"/>
        <v>0</v>
      </c>
      <c r="G128" s="5">
        <f t="shared" si="195"/>
        <v>0</v>
      </c>
      <c r="H128" s="5">
        <f t="shared" si="195"/>
        <v>0</v>
      </c>
      <c r="I128" s="5">
        <f t="shared" si="195"/>
        <v>0</v>
      </c>
      <c r="J128" s="5">
        <f t="shared" si="195"/>
        <v>0</v>
      </c>
      <c r="K128" s="5">
        <f t="shared" ref="K128:L128" si="196">K19</f>
        <v>0</v>
      </c>
      <c r="L128" s="5">
        <f t="shared" si="196"/>
        <v>0</v>
      </c>
      <c r="M128" s="5">
        <f t="shared" si="195"/>
        <v>0</v>
      </c>
    </row>
    <row r="129" spans="1:14" x14ac:dyDescent="0.3">
      <c r="B129" s="12"/>
      <c r="C129" s="12"/>
      <c r="D129" s="12"/>
      <c r="E129" s="12"/>
      <c r="F129" s="12"/>
      <c r="G129" s="12"/>
      <c r="H129" s="12"/>
      <c r="I129" s="12"/>
      <c r="J129" s="12"/>
      <c r="K129" s="12"/>
      <c r="L129" s="12"/>
      <c r="M129" s="12"/>
    </row>
    <row r="130" spans="1:14" x14ac:dyDescent="0.3">
      <c r="B130" s="12"/>
      <c r="C130" s="12"/>
      <c r="D130" s="12"/>
      <c r="E130" s="12"/>
      <c r="F130" s="12"/>
      <c r="G130" s="12"/>
      <c r="H130" s="12"/>
      <c r="I130" s="12"/>
      <c r="J130" s="12"/>
      <c r="K130" s="12"/>
      <c r="L130" s="12"/>
      <c r="M130" s="12"/>
    </row>
    <row r="131" spans="1:14" x14ac:dyDescent="0.3">
      <c r="A131" s="274" t="s">
        <v>527</v>
      </c>
      <c r="B131" s="275"/>
      <c r="C131" s="275"/>
      <c r="D131" s="275"/>
      <c r="E131" s="275"/>
      <c r="F131" s="275"/>
      <c r="G131" s="275"/>
      <c r="H131" s="275"/>
      <c r="I131" s="275"/>
      <c r="J131" s="275"/>
      <c r="K131" s="275"/>
      <c r="L131" s="275"/>
      <c r="M131" s="275"/>
    </row>
    <row r="132" spans="1:14" x14ac:dyDescent="0.3">
      <c r="A132" s="266" t="str">
        <f>'Cost Analysis US$'!A55</f>
        <v>Landing fees, en route &amp; other variable charges per ASMs [cents]</v>
      </c>
      <c r="B132" s="266">
        <f>'Cost Analysis US$'!B55</f>
        <v>2.3802628334345712</v>
      </c>
      <c r="C132" s="266">
        <f>'Cost Analysis US$'!C55</f>
        <v>2.2490155756014971</v>
      </c>
      <c r="D132" s="266">
        <f>'Cost Analysis US$'!D55</f>
        <v>2.1875302898961717</v>
      </c>
      <c r="E132" s="266">
        <f>'Cost Analysis US$'!E55</f>
        <v>2.2643441080040083</v>
      </c>
      <c r="F132" s="266">
        <f>'Cost Analysis US$'!F55</f>
        <v>2.2328777785398866</v>
      </c>
      <c r="G132" s="266">
        <f>'Cost Analysis US$'!G55</f>
        <v>1.4817579855438747</v>
      </c>
      <c r="H132" s="266">
        <f>'Cost Analysis US$'!H55</f>
        <v>1.3809748864757754</v>
      </c>
      <c r="I132" s="266">
        <f>'Cost Analysis US$'!I55</f>
        <v>1.3591775506271688</v>
      </c>
      <c r="J132" s="266">
        <f>'Cost Analysis US$'!J55</f>
        <v>1.3912979166926998</v>
      </c>
      <c r="K132" s="266">
        <f>'Cost Analysis US$'!K55</f>
        <v>1.37748687268037</v>
      </c>
      <c r="L132" s="266">
        <f>'Cost Analysis US$'!M55</f>
        <v>1.5445592168831803</v>
      </c>
      <c r="M132" s="266">
        <f>'Cost Analysis US$'!M55</f>
        <v>1.5445592168831803</v>
      </c>
    </row>
    <row r="133" spans="1:14" x14ac:dyDescent="0.3">
      <c r="A133" s="13" t="s">
        <v>620</v>
      </c>
      <c r="B133" s="2" t="str">
        <f t="shared" ref="B133" si="197">IFERROR((B132/A132)-1, "N/A")</f>
        <v>N/A</v>
      </c>
      <c r="C133" s="2">
        <f t="shared" ref="C133" si="198">IFERROR((C132/B132)-1, "N/A")</f>
        <v>-5.5139817330043583E-2</v>
      </c>
      <c r="D133" s="2">
        <f t="shared" ref="D133" si="199">IFERROR((D132/C132)-1, "N/A")</f>
        <v>-2.7338754952322297E-2</v>
      </c>
      <c r="E133" s="2">
        <f t="shared" ref="E133" si="200">IFERROR((E132/D132)-1, "N/A")</f>
        <v>3.5114402055425931E-2</v>
      </c>
      <c r="F133" s="2">
        <f t="shared" ref="F133" si="201">IFERROR((F132/E132)-1, "N/A")</f>
        <v>-1.3896443280371762E-2</v>
      </c>
      <c r="G133" s="2">
        <f t="shared" ref="G133" si="202">IFERROR((G132/F132)-1, "N/A")</f>
        <v>-0.33639091230832197</v>
      </c>
      <c r="H133" s="2">
        <f t="shared" ref="H133:L133" si="203">IFERROR((H132/G132)-1, "N/A")</f>
        <v>-6.8015897367414757E-2</v>
      </c>
      <c r="I133" s="2">
        <f t="shared" si="203"/>
        <v>-1.5784020449664315E-2</v>
      </c>
      <c r="J133" s="2">
        <f t="shared" si="203"/>
        <v>2.3632207617547474E-2</v>
      </c>
      <c r="K133" s="2">
        <f t="shared" si="203"/>
        <v>-9.9267337689691315E-3</v>
      </c>
      <c r="L133" s="2">
        <f t="shared" si="203"/>
        <v>0.12128779410994617</v>
      </c>
      <c r="M133" s="2">
        <f t="shared" ref="M133" si="204">IFERROR((M132/H132)-1, "N/A")</f>
        <v>0.11845568808631235</v>
      </c>
    </row>
    <row r="134" spans="1:14" x14ac:dyDescent="0.3">
      <c r="A134" s="265" t="str">
        <f>'Cost Analysis US$'!A17</f>
        <v>Selling &amp; distribution charges </v>
      </c>
      <c r="B134" s="265">
        <f>'Cost Analysis US$'!B17</f>
        <v>251.40993408982811</v>
      </c>
      <c r="C134" s="265">
        <f>'Cost Analysis US$'!C17</f>
        <v>618.91326112678621</v>
      </c>
      <c r="D134" s="265">
        <f>'Cost Analysis US$'!D17</f>
        <v>603.21715817694371</v>
      </c>
      <c r="E134" s="265">
        <f>'Cost Analysis US$'!E17</f>
        <v>595.26121577005244</v>
      </c>
      <c r="F134" s="265">
        <f>'Cost Analysis US$'!F17</f>
        <v>645.71922744306721</v>
      </c>
      <c r="G134" s="265">
        <f>'Cost Analysis US$'!G17</f>
        <v>475.88112364299519</v>
      </c>
      <c r="H134" s="265">
        <f>'Cost Analysis US$'!H17</f>
        <v>530.46995261235702</v>
      </c>
      <c r="I134" s="265">
        <f>'Cost Analysis US$'!I17</f>
        <v>598.55383562435327</v>
      </c>
      <c r="J134" s="265">
        <f>'Cost Analysis US$'!J17</f>
        <v>622.70055682574616</v>
      </c>
      <c r="K134" s="265">
        <f>'Cost Analysis US$'!K17</f>
        <v>658.67812193835255</v>
      </c>
      <c r="L134" s="265">
        <f>'Cost Analysis US$'!M17</f>
        <v>129.37009086708764</v>
      </c>
      <c r="M134" s="265">
        <f>'Cost Analysis US$'!M17</f>
        <v>129.37009086708764</v>
      </c>
    </row>
    <row r="135" spans="1:14" x14ac:dyDescent="0.3">
      <c r="A135" s="13" t="str">
        <f>A79</f>
        <v>Total Passenger Revenue</v>
      </c>
      <c r="B135" s="13">
        <f>B79</f>
        <v>9150.7391840340133</v>
      </c>
      <c r="C135" s="13">
        <f t="shared" ref="C135:M135" si="205">C79</f>
        <v>10323.311388206264</v>
      </c>
      <c r="D135" s="13">
        <f t="shared" si="205"/>
        <v>10740.866712016326</v>
      </c>
      <c r="E135" s="13">
        <f t="shared" si="205"/>
        <v>10702.078073412313</v>
      </c>
      <c r="F135" s="13">
        <f t="shared" si="205"/>
        <v>11342.365715383876</v>
      </c>
      <c r="G135" s="13">
        <f t="shared" si="205"/>
        <v>9721.1242691546067</v>
      </c>
      <c r="H135" s="13">
        <f t="shared" si="205"/>
        <v>9921.2218164257047</v>
      </c>
      <c r="I135" s="13">
        <f t="shared" si="205"/>
        <v>11147.583726280587</v>
      </c>
      <c r="J135" s="13">
        <f t="shared" si="205"/>
        <v>12470.215240224145</v>
      </c>
      <c r="K135" s="13">
        <f t="shared" ref="K135:L135" si="206">K79</f>
        <v>12986.660637576306</v>
      </c>
      <c r="L135" s="13">
        <f t="shared" si="206"/>
        <v>2257.8161096565532</v>
      </c>
      <c r="M135" s="13">
        <f t="shared" si="205"/>
        <v>2257.8161096565532</v>
      </c>
      <c r="N135" s="12"/>
    </row>
    <row r="136" spans="1:14" x14ac:dyDescent="0.3">
      <c r="A136" s="13" t="s">
        <v>517</v>
      </c>
      <c r="B136" s="267">
        <f>B134/B135</f>
        <v>2.747427601569959E-2</v>
      </c>
      <c r="C136" s="267">
        <f t="shared" ref="C136:M136" si="207">C134/C135</f>
        <v>5.9952978056426333E-2</v>
      </c>
      <c r="D136" s="267">
        <f t="shared" si="207"/>
        <v>5.6160938809723386E-2</v>
      </c>
      <c r="E136" s="267">
        <f t="shared" si="207"/>
        <v>5.5621087015697304E-2</v>
      </c>
      <c r="F136" s="267">
        <f t="shared" si="207"/>
        <v>5.6929854286682485E-2</v>
      </c>
      <c r="G136" s="267">
        <f t="shared" si="207"/>
        <v>4.8953301127214167E-2</v>
      </c>
      <c r="H136" s="267">
        <f t="shared" si="207"/>
        <v>5.346820809248555E-2</v>
      </c>
      <c r="I136" s="267">
        <f t="shared" ref="I136:J136" si="208">I134/I135</f>
        <v>5.3693594084721165E-2</v>
      </c>
      <c r="J136" s="267">
        <f t="shared" si="208"/>
        <v>4.9935028772971964E-2</v>
      </c>
      <c r="K136" s="267">
        <f t="shared" ref="K136:L136" si="209">K134/K135</f>
        <v>5.0719591457753017E-2</v>
      </c>
      <c r="L136" s="267">
        <f t="shared" si="209"/>
        <v>5.729877216916781E-2</v>
      </c>
      <c r="M136" s="267">
        <f t="shared" si="207"/>
        <v>5.729877216916781E-2</v>
      </c>
      <c r="N136" s="12"/>
    </row>
    <row r="137" spans="1:14" x14ac:dyDescent="0.3">
      <c r="B137" s="12"/>
      <c r="C137" s="12"/>
      <c r="D137" s="12"/>
      <c r="E137" s="12"/>
      <c r="F137" s="12"/>
      <c r="G137" s="12"/>
      <c r="H137" s="12"/>
      <c r="I137" s="12"/>
      <c r="J137" s="12"/>
      <c r="K137" s="12"/>
      <c r="L137" s="12"/>
      <c r="M137" s="12"/>
      <c r="N137" s="12"/>
    </row>
    <row r="138" spans="1:14" x14ac:dyDescent="0.3">
      <c r="B138" s="12"/>
      <c r="C138" s="12"/>
      <c r="D138" s="12"/>
      <c r="E138" s="12"/>
      <c r="F138" s="12"/>
      <c r="G138" s="12"/>
      <c r="H138" s="12"/>
      <c r="I138" s="12"/>
      <c r="J138" s="12"/>
      <c r="K138" s="12"/>
      <c r="L138" s="12"/>
      <c r="M138" s="12"/>
      <c r="N138" s="12"/>
    </row>
    <row r="139" spans="1:14" x14ac:dyDescent="0.3">
      <c r="A139" s="274" t="s">
        <v>528</v>
      </c>
      <c r="B139" s="275"/>
      <c r="C139" s="275"/>
      <c r="D139" s="275"/>
      <c r="E139" s="275"/>
      <c r="F139" s="275"/>
      <c r="G139" s="275"/>
      <c r="H139" s="275"/>
      <c r="I139" s="275"/>
      <c r="J139" s="275"/>
      <c r="K139" s="275"/>
      <c r="L139" s="275"/>
      <c r="M139" s="275"/>
      <c r="N139" s="12"/>
    </row>
    <row r="140" spans="1:14" x14ac:dyDescent="0.3">
      <c r="B140" s="12"/>
      <c r="C140" s="12"/>
      <c r="D140" s="12"/>
      <c r="E140" s="12"/>
      <c r="F140" s="12"/>
      <c r="G140" s="12"/>
      <c r="H140" s="12"/>
      <c r="I140" s="12"/>
      <c r="J140" s="12"/>
      <c r="K140" s="12"/>
      <c r="L140" s="12"/>
      <c r="M140" s="12"/>
      <c r="N140" s="12"/>
    </row>
    <row r="141" spans="1:14" x14ac:dyDescent="0.3">
      <c r="A141" s="13" t="s">
        <v>518</v>
      </c>
      <c r="B141" s="12">
        <f>'Cost Analysis US$'!B27</f>
        <v>335.86037527058119</v>
      </c>
      <c r="C141" s="12">
        <f>'Cost Analysis US$'!C27</f>
        <v>338.78421973443363</v>
      </c>
      <c r="D141" s="12">
        <f>'Cost Analysis US$'!D27</f>
        <v>336.12100356128207</v>
      </c>
      <c r="E141" s="12">
        <f>'Cost Analysis US$'!E27</f>
        <v>308.79782482035347</v>
      </c>
      <c r="F141" s="12">
        <f>'Cost Analysis US$'!F27</f>
        <v>300.75910444892861</v>
      </c>
      <c r="G141" s="12">
        <f>'Cost Analysis US$'!G27</f>
        <v>276.29282343088374</v>
      </c>
      <c r="H141" s="12">
        <f>'Cost Analysis US$'!H27</f>
        <v>348.61609972533279</v>
      </c>
      <c r="I141" s="12">
        <f>'Cost Analysis US$'!I27</f>
        <v>387.48079706441399</v>
      </c>
      <c r="J141" s="12">
        <f>'Cost Analysis US$'!J27</f>
        <v>0</v>
      </c>
      <c r="K141" s="12">
        <f>'Cost Analysis US$'!K27</f>
        <v>0</v>
      </c>
      <c r="L141" s="12">
        <f>'Cost Analysis US$'!M27</f>
        <v>0</v>
      </c>
      <c r="M141" s="12">
        <f>'Cost Analysis US$'!M27</f>
        <v>0</v>
      </c>
      <c r="N141" s="12"/>
    </row>
    <row r="142" spans="1:14" x14ac:dyDescent="0.3">
      <c r="A142" s="13" t="s">
        <v>529</v>
      </c>
      <c r="B142" s="33"/>
      <c r="C142" s="33"/>
      <c r="D142" s="33"/>
      <c r="E142" s="33"/>
      <c r="F142" s="33"/>
      <c r="G142" s="33"/>
      <c r="H142" s="33"/>
      <c r="I142" s="33"/>
      <c r="J142" s="33"/>
      <c r="K142" s="33"/>
      <c r="L142" s="33"/>
      <c r="M142" s="33"/>
      <c r="N142" s="12"/>
    </row>
    <row r="143" spans="1:14" x14ac:dyDescent="0.3">
      <c r="A143" s="13" t="s">
        <v>621</v>
      </c>
      <c r="B143" s="12"/>
      <c r="C143" s="12" t="e">
        <f>AVERAGE(C142,B142)</f>
        <v>#DIV/0!</v>
      </c>
      <c r="D143" s="12" t="e">
        <f t="shared" ref="D143:L143" si="210">AVERAGE(D142,C142)</f>
        <v>#DIV/0!</v>
      </c>
      <c r="E143" s="12" t="e">
        <f t="shared" si="210"/>
        <v>#DIV/0!</v>
      </c>
      <c r="F143" s="12" t="e">
        <f t="shared" si="210"/>
        <v>#DIV/0!</v>
      </c>
      <c r="G143" s="12" t="e">
        <f t="shared" si="210"/>
        <v>#DIV/0!</v>
      </c>
      <c r="H143" s="12" t="e">
        <f t="shared" si="210"/>
        <v>#DIV/0!</v>
      </c>
      <c r="I143" s="12" t="e">
        <f t="shared" si="210"/>
        <v>#DIV/0!</v>
      </c>
      <c r="J143" s="12" t="e">
        <f t="shared" si="210"/>
        <v>#DIV/0!</v>
      </c>
      <c r="K143" s="12" t="e">
        <f t="shared" si="210"/>
        <v>#DIV/0!</v>
      </c>
      <c r="L143" s="12" t="e">
        <f t="shared" si="210"/>
        <v>#DIV/0!</v>
      </c>
      <c r="M143" s="12" t="e">
        <f>AVERAGE(M142,H142)</f>
        <v>#DIV/0!</v>
      </c>
      <c r="N143" s="12"/>
    </row>
    <row r="144" spans="1:14" x14ac:dyDescent="0.3">
      <c r="A144" s="13" t="s">
        <v>519</v>
      </c>
      <c r="B144" s="4" t="str">
        <f>IFERROR(B141/B143,"")</f>
        <v/>
      </c>
      <c r="C144" s="4" t="str">
        <f t="shared" ref="C144:M144" si="211">IFERROR(C141/C143,"")</f>
        <v/>
      </c>
      <c r="D144" s="4" t="str">
        <f t="shared" si="211"/>
        <v/>
      </c>
      <c r="E144" s="4" t="str">
        <f t="shared" si="211"/>
        <v/>
      </c>
      <c r="F144" s="4" t="str">
        <f t="shared" si="211"/>
        <v/>
      </c>
      <c r="G144" s="4" t="str">
        <f t="shared" si="211"/>
        <v/>
      </c>
      <c r="H144" s="4" t="str">
        <f t="shared" si="211"/>
        <v/>
      </c>
      <c r="I144" s="4" t="str">
        <f t="shared" ref="I144:J144" si="212">IFERROR(I141/I143,"")</f>
        <v/>
      </c>
      <c r="J144" s="4" t="str">
        <f t="shared" si="212"/>
        <v/>
      </c>
      <c r="K144" s="4" t="str">
        <f t="shared" ref="K144:L144" si="213">IFERROR(K141/K143,"")</f>
        <v/>
      </c>
      <c r="L144" s="4" t="str">
        <f t="shared" si="213"/>
        <v/>
      </c>
      <c r="M144" s="4" t="str">
        <f t="shared" si="211"/>
        <v/>
      </c>
      <c r="N144" s="12"/>
    </row>
    <row r="145" spans="1:15" x14ac:dyDescent="0.3">
      <c r="A145" s="13" t="s">
        <v>520</v>
      </c>
      <c r="B145" s="4" t="str">
        <f>IFERROR(B144/12,"")</f>
        <v/>
      </c>
      <c r="C145" s="4" t="str">
        <f t="shared" ref="C145:M145" si="214">IFERROR(C144/12,"")</f>
        <v/>
      </c>
      <c r="D145" s="4" t="str">
        <f t="shared" si="214"/>
        <v/>
      </c>
      <c r="E145" s="4" t="str">
        <f t="shared" si="214"/>
        <v/>
      </c>
      <c r="F145" s="4" t="str">
        <f t="shared" si="214"/>
        <v/>
      </c>
      <c r="G145" s="4" t="str">
        <f t="shared" si="214"/>
        <v/>
      </c>
      <c r="H145" s="4" t="str">
        <f t="shared" si="214"/>
        <v/>
      </c>
      <c r="I145" s="4" t="str">
        <f t="shared" ref="I145:J145" si="215">IFERROR(I144/12,"")</f>
        <v/>
      </c>
      <c r="J145" s="4" t="str">
        <f t="shared" si="215"/>
        <v/>
      </c>
      <c r="K145" s="4" t="str">
        <f t="shared" ref="K145:L145" si="216">IFERROR(K144/12,"")</f>
        <v/>
      </c>
      <c r="L145" s="4" t="str">
        <f t="shared" si="216"/>
        <v/>
      </c>
      <c r="M145" s="4" t="str">
        <f t="shared" si="214"/>
        <v/>
      </c>
      <c r="N145" s="12"/>
    </row>
    <row r="146" spans="1:15" x14ac:dyDescent="0.3">
      <c r="A146" s="11" t="s">
        <v>521</v>
      </c>
      <c r="B146" s="12"/>
      <c r="C146" s="12"/>
      <c r="D146" s="12"/>
      <c r="E146" s="12"/>
      <c r="F146" s="12"/>
      <c r="G146" s="12"/>
      <c r="H146" s="4"/>
      <c r="I146" s="4"/>
      <c r="J146" s="4"/>
      <c r="K146" s="4"/>
      <c r="L146" s="4"/>
      <c r="M146" s="12"/>
      <c r="N146" s="12"/>
    </row>
    <row r="147" spans="1:15" x14ac:dyDescent="0.3">
      <c r="A147" s="268" t="s">
        <v>530</v>
      </c>
      <c r="B147" s="12"/>
      <c r="C147" s="12"/>
      <c r="D147" s="12"/>
      <c r="E147" s="12"/>
      <c r="F147" s="12"/>
      <c r="G147" s="12"/>
      <c r="H147" s="12"/>
      <c r="I147" s="12"/>
      <c r="J147" s="12"/>
      <c r="K147" s="12"/>
      <c r="L147" s="12"/>
      <c r="M147" s="12"/>
      <c r="N147" s="12"/>
    </row>
    <row r="148" spans="1:15" x14ac:dyDescent="0.3">
      <c r="A148" s="13" t="s">
        <v>508</v>
      </c>
      <c r="B148" s="33"/>
      <c r="C148" s="33"/>
      <c r="D148" s="33"/>
      <c r="E148" s="33"/>
      <c r="F148" s="33"/>
      <c r="G148" s="33"/>
      <c r="H148" s="33"/>
      <c r="I148" s="33"/>
      <c r="J148" s="33"/>
      <c r="K148" s="33"/>
      <c r="L148" s="33"/>
      <c r="M148" s="33"/>
      <c r="N148" s="12"/>
    </row>
    <row r="149" spans="1:15" x14ac:dyDescent="0.3">
      <c r="A149" s="13" t="s">
        <v>509</v>
      </c>
      <c r="B149" s="33"/>
      <c r="C149" s="33"/>
      <c r="D149" s="33"/>
      <c r="E149" s="33"/>
      <c r="F149" s="33"/>
      <c r="G149" s="33"/>
      <c r="H149" s="33"/>
      <c r="I149" s="33"/>
      <c r="J149" s="33"/>
      <c r="K149" s="33"/>
      <c r="L149" s="33"/>
      <c r="M149" s="33"/>
      <c r="N149" s="12"/>
    </row>
    <row r="150" spans="1:15" x14ac:dyDescent="0.3">
      <c r="A150" s="13" t="s">
        <v>510</v>
      </c>
      <c r="B150" s="33"/>
      <c r="C150" s="33"/>
      <c r="D150" s="33"/>
      <c r="E150" s="33"/>
      <c r="F150" s="33"/>
      <c r="G150" s="33"/>
      <c r="H150" s="33"/>
      <c r="I150" s="33"/>
      <c r="J150" s="33"/>
      <c r="K150" s="33"/>
      <c r="L150" s="33"/>
      <c r="M150" s="33"/>
      <c r="N150" s="12"/>
    </row>
    <row r="151" spans="1:15" x14ac:dyDescent="0.3">
      <c r="A151" s="13" t="s">
        <v>511</v>
      </c>
      <c r="B151" s="33"/>
      <c r="C151" s="33"/>
      <c r="D151" s="33"/>
      <c r="E151" s="33"/>
      <c r="F151" s="33"/>
      <c r="G151" s="33"/>
      <c r="H151" s="33"/>
      <c r="I151" s="33"/>
      <c r="J151" s="33"/>
      <c r="K151" s="33"/>
      <c r="L151" s="33"/>
      <c r="M151" s="33"/>
      <c r="N151" s="12"/>
    </row>
    <row r="152" spans="1:15" x14ac:dyDescent="0.3">
      <c r="A152" s="268" t="s">
        <v>522</v>
      </c>
      <c r="B152" s="12"/>
      <c r="C152" s="12"/>
      <c r="D152" s="12"/>
      <c r="E152" s="12"/>
      <c r="F152" s="12"/>
      <c r="G152" s="12"/>
      <c r="H152" s="12"/>
      <c r="I152" s="12"/>
      <c r="J152" s="12"/>
      <c r="K152" s="12"/>
      <c r="L152" s="12"/>
      <c r="M152" s="4"/>
      <c r="N152" s="12"/>
    </row>
    <row r="153" spans="1:15" x14ac:dyDescent="0.3">
      <c r="A153" s="13" t="s">
        <v>508</v>
      </c>
      <c r="B153" s="33"/>
      <c r="C153" s="269"/>
      <c r="D153" s="269"/>
      <c r="E153" s="269"/>
      <c r="F153" s="269"/>
      <c r="G153" s="269"/>
      <c r="H153" s="269"/>
      <c r="I153" s="269"/>
      <c r="J153" s="269"/>
      <c r="K153" s="269"/>
      <c r="L153" s="269"/>
      <c r="M153" s="33"/>
      <c r="N153" s="12"/>
      <c r="O153" s="11"/>
    </row>
    <row r="154" spans="1:15" x14ac:dyDescent="0.3">
      <c r="A154" s="13" t="s">
        <v>509</v>
      </c>
      <c r="B154" s="33"/>
      <c r="C154" s="33"/>
      <c r="D154" s="33"/>
      <c r="E154" s="33"/>
      <c r="F154" s="33"/>
      <c r="G154" s="33"/>
      <c r="H154" s="33"/>
      <c r="I154" s="33"/>
      <c r="J154" s="33"/>
      <c r="K154" s="33"/>
      <c r="L154" s="33"/>
      <c r="M154" s="33"/>
      <c r="N154" s="12"/>
    </row>
    <row r="155" spans="1:15" x14ac:dyDescent="0.3">
      <c r="A155" s="13" t="s">
        <v>510</v>
      </c>
      <c r="B155" s="33"/>
      <c r="C155" s="33"/>
      <c r="D155" s="33"/>
      <c r="E155" s="33"/>
      <c r="F155" s="269"/>
      <c r="G155" s="269"/>
      <c r="H155" s="269"/>
      <c r="I155" s="269"/>
      <c r="J155" s="269"/>
      <c r="K155" s="269"/>
      <c r="L155" s="269"/>
      <c r="M155" s="33"/>
      <c r="N155" s="12"/>
    </row>
    <row r="156" spans="1:15" x14ac:dyDescent="0.3">
      <c r="A156" s="13" t="s">
        <v>511</v>
      </c>
      <c r="B156" s="33"/>
      <c r="C156" s="33"/>
      <c r="D156" s="33"/>
      <c r="E156" s="33"/>
      <c r="F156" s="33"/>
      <c r="G156" s="33"/>
      <c r="H156" s="33"/>
      <c r="I156" s="33"/>
      <c r="J156" s="33"/>
      <c r="K156" s="33"/>
      <c r="L156" s="33"/>
      <c r="M156" s="33"/>
      <c r="N156" s="12"/>
    </row>
    <row r="157" spans="1:15" x14ac:dyDescent="0.3">
      <c r="A157" s="268" t="s">
        <v>523</v>
      </c>
      <c r="B157" s="12"/>
      <c r="C157" s="12"/>
      <c r="D157" s="12"/>
      <c r="E157" s="12"/>
      <c r="F157" s="12"/>
      <c r="G157" s="12"/>
      <c r="H157" s="12"/>
      <c r="I157" s="12"/>
      <c r="J157" s="12"/>
      <c r="K157" s="12"/>
      <c r="L157" s="12"/>
      <c r="M157" s="12"/>
      <c r="N157" s="12"/>
    </row>
    <row r="158" spans="1:15" x14ac:dyDescent="0.3">
      <c r="A158" s="13" t="s">
        <v>508</v>
      </c>
      <c r="C158" s="13">
        <f>C148*C153*12</f>
        <v>0</v>
      </c>
      <c r="D158" s="13">
        <f t="shared" ref="D158:J158" si="217">D148*D153*12</f>
        <v>0</v>
      </c>
      <c r="E158" s="13">
        <f t="shared" si="217"/>
        <v>0</v>
      </c>
      <c r="F158" s="13">
        <f t="shared" si="217"/>
        <v>0</v>
      </c>
      <c r="G158" s="13">
        <f t="shared" si="217"/>
        <v>0</v>
      </c>
      <c r="H158" s="13">
        <f t="shared" si="217"/>
        <v>0</v>
      </c>
      <c r="I158" s="13">
        <f t="shared" si="217"/>
        <v>0</v>
      </c>
      <c r="J158" s="13">
        <f t="shared" si="217"/>
        <v>0</v>
      </c>
      <c r="K158" s="13">
        <f t="shared" ref="K158:L158" si="218">K148*K153*12</f>
        <v>0</v>
      </c>
      <c r="L158" s="13">
        <f t="shared" si="218"/>
        <v>0</v>
      </c>
    </row>
    <row r="159" spans="1:15" x14ac:dyDescent="0.3">
      <c r="A159" s="13" t="s">
        <v>509</v>
      </c>
      <c r="C159" s="13">
        <f>C149*C154*12</f>
        <v>0</v>
      </c>
      <c r="D159" s="13">
        <f t="shared" ref="D159:J159" si="219">D149*D154*12</f>
        <v>0</v>
      </c>
      <c r="E159" s="13">
        <f t="shared" si="219"/>
        <v>0</v>
      </c>
      <c r="F159" s="13">
        <f t="shared" si="219"/>
        <v>0</v>
      </c>
      <c r="G159" s="13">
        <f t="shared" si="219"/>
        <v>0</v>
      </c>
      <c r="H159" s="13">
        <f t="shared" si="219"/>
        <v>0</v>
      </c>
      <c r="I159" s="13">
        <f t="shared" si="219"/>
        <v>0</v>
      </c>
      <c r="J159" s="13">
        <f t="shared" si="219"/>
        <v>0</v>
      </c>
      <c r="K159" s="13">
        <f t="shared" ref="K159:L159" si="220">K149*K154*12</f>
        <v>0</v>
      </c>
      <c r="L159" s="13">
        <f t="shared" si="220"/>
        <v>0</v>
      </c>
    </row>
    <row r="160" spans="1:15" x14ac:dyDescent="0.3">
      <c r="A160" s="13" t="s">
        <v>510</v>
      </c>
      <c r="C160" s="13">
        <f>C150*C155*12</f>
        <v>0</v>
      </c>
      <c r="D160" s="13">
        <f t="shared" ref="D160:J160" si="221">D150*D155*12</f>
        <v>0</v>
      </c>
      <c r="E160" s="13">
        <f t="shared" si="221"/>
        <v>0</v>
      </c>
      <c r="F160" s="13">
        <f t="shared" si="221"/>
        <v>0</v>
      </c>
      <c r="G160" s="13">
        <f t="shared" si="221"/>
        <v>0</v>
      </c>
      <c r="H160" s="13">
        <f t="shared" si="221"/>
        <v>0</v>
      </c>
      <c r="I160" s="13">
        <f t="shared" si="221"/>
        <v>0</v>
      </c>
      <c r="J160" s="13">
        <f t="shared" si="221"/>
        <v>0</v>
      </c>
      <c r="K160" s="13">
        <f t="shared" ref="K160:L160" si="222">K150*K155*12</f>
        <v>0</v>
      </c>
      <c r="L160" s="13">
        <f t="shared" si="222"/>
        <v>0</v>
      </c>
    </row>
    <row r="161" spans="1:18" x14ac:dyDescent="0.3">
      <c r="A161" s="13" t="s">
        <v>511</v>
      </c>
      <c r="C161" s="13">
        <f>C151*C156*12</f>
        <v>0</v>
      </c>
      <c r="D161" s="13">
        <f t="shared" ref="D161:J161" si="223">D151*D156*12</f>
        <v>0</v>
      </c>
      <c r="E161" s="13">
        <f t="shared" si="223"/>
        <v>0</v>
      </c>
      <c r="F161" s="13">
        <f t="shared" si="223"/>
        <v>0</v>
      </c>
      <c r="G161" s="13">
        <f t="shared" si="223"/>
        <v>0</v>
      </c>
      <c r="H161" s="13">
        <f t="shared" si="223"/>
        <v>0</v>
      </c>
      <c r="I161" s="13">
        <f t="shared" si="223"/>
        <v>0</v>
      </c>
      <c r="J161" s="13">
        <f t="shared" si="223"/>
        <v>0</v>
      </c>
      <c r="K161" s="13">
        <f t="shared" ref="K161:L161" si="224">K151*K156*12</f>
        <v>0</v>
      </c>
      <c r="L161" s="13">
        <f t="shared" si="224"/>
        <v>0</v>
      </c>
    </row>
    <row r="162" spans="1:18" x14ac:dyDescent="0.3">
      <c r="A162" s="11" t="s">
        <v>531</v>
      </c>
      <c r="B162" s="11"/>
      <c r="C162" s="11">
        <f t="shared" ref="C162:H162" si="225">SUM(C157:C161)</f>
        <v>0</v>
      </c>
      <c r="D162" s="11">
        <f t="shared" si="225"/>
        <v>0</v>
      </c>
      <c r="E162" s="11">
        <f t="shared" si="225"/>
        <v>0</v>
      </c>
      <c r="F162" s="11">
        <f t="shared" si="225"/>
        <v>0</v>
      </c>
      <c r="G162" s="11">
        <f t="shared" si="225"/>
        <v>0</v>
      </c>
      <c r="H162" s="11">
        <f t="shared" si="225"/>
        <v>0</v>
      </c>
      <c r="I162" s="11">
        <f t="shared" ref="I162:J162" si="226">SUM(I157:I161)</f>
        <v>0</v>
      </c>
      <c r="J162" s="11">
        <f t="shared" si="226"/>
        <v>0</v>
      </c>
      <c r="K162" s="11">
        <f t="shared" ref="K162:L162" si="227">SUM(K157:K161)</f>
        <v>0</v>
      </c>
      <c r="L162" s="11">
        <f t="shared" si="227"/>
        <v>0</v>
      </c>
      <c r="M162" s="11"/>
    </row>
    <row r="163" spans="1:18" x14ac:dyDescent="0.3">
      <c r="A163" s="13" t="s">
        <v>524</v>
      </c>
      <c r="B163" s="13">
        <f t="shared" ref="B163:M163" si="228">B141</f>
        <v>335.86037527058119</v>
      </c>
      <c r="C163" s="13">
        <f t="shared" si="228"/>
        <v>338.78421973443363</v>
      </c>
      <c r="D163" s="13">
        <f t="shared" si="228"/>
        <v>336.12100356128207</v>
      </c>
      <c r="E163" s="13">
        <f t="shared" si="228"/>
        <v>308.79782482035347</v>
      </c>
      <c r="F163" s="13">
        <f t="shared" si="228"/>
        <v>300.75910444892861</v>
      </c>
      <c r="G163" s="13">
        <f t="shared" si="228"/>
        <v>276.29282343088374</v>
      </c>
      <c r="H163" s="13">
        <f t="shared" si="228"/>
        <v>348.61609972533279</v>
      </c>
      <c r="I163" s="13">
        <f t="shared" ref="I163:J163" si="229">I141</f>
        <v>387.48079706441399</v>
      </c>
      <c r="J163" s="13">
        <f t="shared" si="229"/>
        <v>0</v>
      </c>
      <c r="K163" s="13">
        <f t="shared" ref="K163:L163" si="230">K141</f>
        <v>0</v>
      </c>
      <c r="L163" s="13">
        <f t="shared" si="230"/>
        <v>0</v>
      </c>
      <c r="M163" s="13">
        <f t="shared" si="228"/>
        <v>0</v>
      </c>
    </row>
    <row r="164" spans="1:18" x14ac:dyDescent="0.3">
      <c r="A164" s="268" t="s">
        <v>532</v>
      </c>
      <c r="B164" s="268"/>
      <c r="C164" s="268">
        <f t="shared" ref="C164:H164" si="231">C163-C162</f>
        <v>338.78421973443363</v>
      </c>
      <c r="D164" s="268">
        <f t="shared" si="231"/>
        <v>336.12100356128207</v>
      </c>
      <c r="E164" s="268">
        <f t="shared" si="231"/>
        <v>308.79782482035347</v>
      </c>
      <c r="F164" s="268">
        <f t="shared" si="231"/>
        <v>300.75910444892861</v>
      </c>
      <c r="G164" s="268">
        <f t="shared" si="231"/>
        <v>276.29282343088374</v>
      </c>
      <c r="H164" s="268">
        <f t="shared" si="231"/>
        <v>348.61609972533279</v>
      </c>
      <c r="I164" s="268">
        <f t="shared" ref="I164:J164" si="232">I163-I162</f>
        <v>387.48079706441399</v>
      </c>
      <c r="J164" s="268">
        <f t="shared" si="232"/>
        <v>0</v>
      </c>
      <c r="K164" s="268">
        <f t="shared" ref="K164:L164" si="233">K163-K162</f>
        <v>0</v>
      </c>
      <c r="L164" s="268">
        <f t="shared" si="233"/>
        <v>0</v>
      </c>
      <c r="M164" s="268"/>
    </row>
    <row r="166" spans="1:18" x14ac:dyDescent="0.3">
      <c r="A166" s="278" t="s">
        <v>534</v>
      </c>
      <c r="B166" s="279"/>
      <c r="C166" s="279"/>
      <c r="D166" s="279"/>
      <c r="E166" s="279"/>
      <c r="F166" s="279"/>
      <c r="G166" s="279"/>
      <c r="H166" s="279"/>
      <c r="I166" s="279"/>
      <c r="J166" s="279"/>
      <c r="K166" s="279"/>
      <c r="L166" s="279"/>
      <c r="M166" s="279"/>
      <c r="N166" s="12"/>
    </row>
    <row r="168" spans="1:18" x14ac:dyDescent="0.3">
      <c r="A168" s="274" t="s">
        <v>538</v>
      </c>
      <c r="B168" s="274"/>
      <c r="C168" s="274"/>
      <c r="D168" s="274"/>
      <c r="E168" s="274"/>
      <c r="F168" s="274"/>
      <c r="G168" s="274"/>
      <c r="H168" s="274"/>
      <c r="I168" s="274"/>
      <c r="J168" s="274"/>
      <c r="K168" s="274"/>
      <c r="L168" s="274"/>
      <c r="M168" s="274"/>
    </row>
    <row r="169" spans="1:18" x14ac:dyDescent="0.3">
      <c r="A169" s="13" t="s">
        <v>540</v>
      </c>
      <c r="B169" s="41"/>
      <c r="C169" s="41"/>
      <c r="D169" s="41"/>
      <c r="E169" s="41"/>
      <c r="F169" s="41"/>
      <c r="G169" s="41"/>
      <c r="H169" s="41"/>
      <c r="I169" s="41"/>
      <c r="J169" s="41"/>
      <c r="K169" s="41"/>
      <c r="L169" s="41"/>
      <c r="M169" s="41"/>
      <c r="P169" s="13">
        <v>27175</v>
      </c>
      <c r="Q169" s="13">
        <f>G169/8.64</f>
        <v>0</v>
      </c>
      <c r="R169" s="13">
        <f>H169/8.64</f>
        <v>0</v>
      </c>
    </row>
    <row r="170" spans="1:18" x14ac:dyDescent="0.3">
      <c r="A170" s="13" t="s">
        <v>541</v>
      </c>
      <c r="B170" s="41"/>
      <c r="C170" s="41"/>
      <c r="D170" s="41"/>
      <c r="E170" s="41"/>
      <c r="F170" s="41"/>
      <c r="G170" s="41"/>
      <c r="H170" s="41"/>
      <c r="I170" s="41"/>
      <c r="J170" s="41"/>
      <c r="K170" s="41"/>
      <c r="L170" s="41"/>
      <c r="M170" s="41"/>
    </row>
    <row r="171" spans="1:18" x14ac:dyDescent="0.3">
      <c r="A171" s="13" t="s">
        <v>535</v>
      </c>
      <c r="B171" s="41"/>
      <c r="C171" s="41"/>
      <c r="D171" s="41"/>
      <c r="E171" s="41"/>
      <c r="F171" s="41"/>
      <c r="G171" s="41"/>
      <c r="H171" s="41"/>
      <c r="I171" s="41"/>
      <c r="J171" s="41"/>
      <c r="K171" s="41"/>
      <c r="L171" s="41"/>
      <c r="M171" s="41"/>
      <c r="P171" s="13">
        <f>P169/25</f>
        <v>1087</v>
      </c>
    </row>
    <row r="172" spans="1:18" s="11" customFormat="1" x14ac:dyDescent="0.3">
      <c r="A172" s="11" t="s">
        <v>536</v>
      </c>
      <c r="E172" s="11" t="e">
        <f>AVERAGE(E169,D169)/E171</f>
        <v>#DIV/0!</v>
      </c>
      <c r="F172" s="11" t="e">
        <f t="shared" ref="F172:G172" si="234">AVERAGE(F169,E169)/F171</f>
        <v>#DIV/0!</v>
      </c>
      <c r="G172" s="11" t="e">
        <f t="shared" si="234"/>
        <v>#DIV/0!</v>
      </c>
      <c r="H172" s="11" t="e">
        <f>AVERAGE(H169,G169)/H171</f>
        <v>#DIV/0!</v>
      </c>
      <c r="I172" s="11" t="e">
        <f>AVERAGE(I169,H169)/I171</f>
        <v>#DIV/0!</v>
      </c>
      <c r="J172" s="11" t="e">
        <f>AVERAGE(J169,I169)/J171</f>
        <v>#DIV/0!</v>
      </c>
      <c r="K172" s="11" t="e">
        <f>AVERAGE(K169,J169)/K171</f>
        <v>#DIV/0!</v>
      </c>
      <c r="L172" s="11" t="e">
        <f>AVERAGE(L169,K169)/L171</f>
        <v>#DIV/0!</v>
      </c>
    </row>
    <row r="173" spans="1:18" s="11" customFormat="1" x14ac:dyDescent="0.3">
      <c r="A173" s="11" t="s">
        <v>537</v>
      </c>
      <c r="E173" s="11" t="e">
        <f t="shared" ref="E173:G173" si="235">AVERAGE(E170,D170)/E171</f>
        <v>#DIV/0!</v>
      </c>
      <c r="F173" s="11" t="e">
        <f t="shared" si="235"/>
        <v>#DIV/0!</v>
      </c>
      <c r="G173" s="11" t="e">
        <f t="shared" si="235"/>
        <v>#DIV/0!</v>
      </c>
      <c r="H173" s="11" t="e">
        <f>AVERAGE(H170,G170)/H171</f>
        <v>#DIV/0!</v>
      </c>
      <c r="I173" s="11" t="e">
        <f>AVERAGE(I170,H170)/I171</f>
        <v>#DIV/0!</v>
      </c>
      <c r="J173" s="11" t="e">
        <f>AVERAGE(J170,I170)/J171</f>
        <v>#DIV/0!</v>
      </c>
      <c r="K173" s="11" t="e">
        <f>AVERAGE(K170,J170)/K171</f>
        <v>#DIV/0!</v>
      </c>
      <c r="L173" s="11" t="e">
        <f>AVERAGE(L170,K170)/L171</f>
        <v>#DIV/0!</v>
      </c>
    </row>
    <row r="175" spans="1:18" x14ac:dyDescent="0.3">
      <c r="A175" s="274" t="s">
        <v>539</v>
      </c>
      <c r="B175" s="274"/>
      <c r="C175" s="274"/>
      <c r="D175" s="274"/>
      <c r="E175" s="274"/>
      <c r="F175" s="274"/>
      <c r="G175" s="274"/>
      <c r="H175" s="274"/>
      <c r="I175" s="274"/>
      <c r="J175" s="274"/>
      <c r="K175" s="274"/>
      <c r="L175" s="274"/>
      <c r="M175" s="274"/>
    </row>
    <row r="176" spans="1:18" x14ac:dyDescent="0.3">
      <c r="A176" s="13" t="s">
        <v>542</v>
      </c>
      <c r="B176" s="41"/>
      <c r="C176" s="41"/>
      <c r="D176" s="41"/>
      <c r="E176" s="41"/>
      <c r="F176" s="41"/>
      <c r="G176" s="41"/>
      <c r="H176" s="282"/>
      <c r="I176" s="282"/>
      <c r="J176" s="282"/>
      <c r="K176" s="282"/>
      <c r="L176" s="282"/>
      <c r="M176" s="41"/>
    </row>
    <row r="177" spans="1:13" x14ac:dyDescent="0.3">
      <c r="A177" s="13" t="s">
        <v>543</v>
      </c>
      <c r="B177" s="41"/>
      <c r="C177" s="41"/>
      <c r="D177" s="41"/>
      <c r="E177" s="41"/>
      <c r="F177" s="41"/>
      <c r="G177" s="41"/>
      <c r="H177" s="41"/>
      <c r="I177" s="41"/>
      <c r="J177" s="41"/>
      <c r="K177" s="41"/>
      <c r="L177" s="41"/>
      <c r="M177" s="41"/>
    </row>
    <row r="178" spans="1:13" x14ac:dyDescent="0.3">
      <c r="A178" s="13" t="s">
        <v>544</v>
      </c>
      <c r="B178" s="41"/>
      <c r="C178" s="41"/>
      <c r="D178" s="41"/>
      <c r="E178" s="41"/>
      <c r="F178" s="41"/>
      <c r="G178" s="41"/>
      <c r="H178" s="41"/>
      <c r="I178" s="41"/>
      <c r="J178" s="41"/>
      <c r="K178" s="41"/>
      <c r="L178" s="41"/>
      <c r="M178" s="41"/>
    </row>
    <row r="179" spans="1:13" s="11" customFormat="1" x14ac:dyDescent="0.3">
      <c r="A179" s="11" t="s">
        <v>536</v>
      </c>
      <c r="E179" s="11" t="e">
        <f t="shared" ref="E179:J179" si="236">E176/E178</f>
        <v>#DIV/0!</v>
      </c>
      <c r="F179" s="11" t="e">
        <f t="shared" si="236"/>
        <v>#DIV/0!</v>
      </c>
      <c r="G179" s="11" t="e">
        <f t="shared" si="236"/>
        <v>#DIV/0!</v>
      </c>
      <c r="H179" s="11" t="e">
        <f t="shared" si="236"/>
        <v>#DIV/0!</v>
      </c>
      <c r="I179" s="11" t="e">
        <f t="shared" si="236"/>
        <v>#DIV/0!</v>
      </c>
      <c r="J179" s="11" t="e">
        <f t="shared" si="236"/>
        <v>#DIV/0!</v>
      </c>
      <c r="K179" s="11" t="e">
        <f t="shared" ref="K179:L179" si="237">K176/K178</f>
        <v>#DIV/0!</v>
      </c>
      <c r="L179" s="11" t="e">
        <f t="shared" si="237"/>
        <v>#DIV/0!</v>
      </c>
    </row>
    <row r="180" spans="1:13" s="11" customFormat="1" x14ac:dyDescent="0.3">
      <c r="A180" s="11" t="s">
        <v>537</v>
      </c>
      <c r="E180" s="11" t="e">
        <f t="shared" ref="E180:J180" si="238">E177/E178</f>
        <v>#DIV/0!</v>
      </c>
      <c r="F180" s="11" t="e">
        <f t="shared" si="238"/>
        <v>#DIV/0!</v>
      </c>
      <c r="G180" s="11" t="e">
        <f t="shared" si="238"/>
        <v>#DIV/0!</v>
      </c>
      <c r="H180" s="11" t="e">
        <f t="shared" si="238"/>
        <v>#DIV/0!</v>
      </c>
      <c r="I180" s="11" t="e">
        <f t="shared" si="238"/>
        <v>#DIV/0!</v>
      </c>
      <c r="J180" s="11" t="e">
        <f t="shared" si="238"/>
        <v>#DIV/0!</v>
      </c>
      <c r="K180" s="11" t="e">
        <f t="shared" ref="K180:L180" si="239">K177/K178</f>
        <v>#DIV/0!</v>
      </c>
      <c r="L180" s="11" t="e">
        <f t="shared" si="239"/>
        <v>#DIV/0!</v>
      </c>
    </row>
    <row r="181" spans="1:13" s="11" customFormat="1" x14ac:dyDescent="0.3"/>
    <row r="182" spans="1:13" s="11" customFormat="1" x14ac:dyDescent="0.3">
      <c r="A182" s="11" t="s">
        <v>547</v>
      </c>
      <c r="B182" s="276"/>
      <c r="C182" s="276"/>
      <c r="D182" s="276"/>
      <c r="E182" s="276"/>
      <c r="F182" s="276"/>
      <c r="G182" s="276"/>
      <c r="H182" s="276"/>
      <c r="I182" s="276"/>
      <c r="J182" s="276"/>
      <c r="K182" s="276"/>
      <c r="L182" s="276"/>
      <c r="M182" s="276"/>
    </row>
    <row r="183" spans="1:13" x14ac:dyDescent="0.3">
      <c r="A183" s="11"/>
      <c r="B183" s="2" t="str">
        <f t="shared" ref="B183" si="240">IFERROR((B182/A182)-1, "N/A")</f>
        <v>N/A</v>
      </c>
      <c r="C183" s="2" t="str">
        <f t="shared" ref="C183" si="241">IFERROR((C182/B182)-1, "N/A")</f>
        <v>N/A</v>
      </c>
      <c r="D183" s="2" t="str">
        <f t="shared" ref="D183" si="242">IFERROR((D182/C182)-1, "N/A")</f>
        <v>N/A</v>
      </c>
      <c r="E183" s="2" t="str">
        <f t="shared" ref="E183" si="243">IFERROR((E182/D182)-1, "N/A")</f>
        <v>N/A</v>
      </c>
      <c r="F183" s="2" t="str">
        <f t="shared" ref="F183" si="244">IFERROR((F182/E182)-1, "N/A")</f>
        <v>N/A</v>
      </c>
      <c r="G183" s="2" t="str">
        <f t="shared" ref="G183" si="245">IFERROR((G182/F182)-1, "N/A")</f>
        <v>N/A</v>
      </c>
      <c r="H183" s="2" t="str">
        <f t="shared" ref="H183:L183" si="246">IFERROR((H182/G182)-1, "N/A")</f>
        <v>N/A</v>
      </c>
      <c r="I183" s="2" t="str">
        <f t="shared" si="246"/>
        <v>N/A</v>
      </c>
      <c r="J183" s="2" t="str">
        <f t="shared" si="246"/>
        <v>N/A</v>
      </c>
      <c r="K183" s="2" t="str">
        <f t="shared" si="246"/>
        <v>N/A</v>
      </c>
      <c r="L183" s="2" t="str">
        <f t="shared" si="246"/>
        <v>N/A</v>
      </c>
      <c r="M183" s="2" t="str">
        <f t="shared" ref="M183" si="247">IFERROR((M182/H182)-1, "N/A")</f>
        <v>N/A</v>
      </c>
    </row>
    <row r="184" spans="1:13" x14ac:dyDescent="0.3">
      <c r="A184" s="274" t="s">
        <v>545</v>
      </c>
      <c r="B184" s="274"/>
      <c r="C184" s="274"/>
      <c r="D184" s="274"/>
      <c r="E184" s="274"/>
      <c r="F184" s="274"/>
      <c r="G184" s="274"/>
      <c r="H184" s="274"/>
      <c r="I184" s="274"/>
      <c r="J184" s="274"/>
      <c r="K184" s="274"/>
      <c r="L184" s="274"/>
      <c r="M184" s="274"/>
    </row>
    <row r="185" spans="1:13" x14ac:dyDescent="0.3">
      <c r="A185" s="13" t="s">
        <v>542</v>
      </c>
      <c r="B185" s="41"/>
      <c r="C185" s="41"/>
      <c r="D185" s="41">
        <v>0</v>
      </c>
      <c r="E185" s="41"/>
      <c r="F185" s="41"/>
      <c r="G185" s="41"/>
      <c r="H185" s="41"/>
      <c r="I185" s="41"/>
      <c r="J185" s="41"/>
      <c r="K185" s="41"/>
      <c r="L185" s="41"/>
      <c r="M185" s="41"/>
    </row>
    <row r="186" spans="1:13" x14ac:dyDescent="0.3">
      <c r="A186" s="13" t="s">
        <v>543</v>
      </c>
      <c r="B186" s="41"/>
      <c r="C186" s="41"/>
      <c r="D186" s="41"/>
      <c r="E186" s="41"/>
      <c r="F186" s="41"/>
      <c r="G186" s="41"/>
      <c r="H186" s="41"/>
      <c r="I186" s="41"/>
      <c r="J186" s="41"/>
      <c r="K186" s="41"/>
      <c r="L186" s="41"/>
      <c r="M186" s="41"/>
    </row>
    <row r="187" spans="1:13" x14ac:dyDescent="0.3">
      <c r="A187" s="13" t="s">
        <v>546</v>
      </c>
      <c r="B187" s="41"/>
      <c r="C187" s="41"/>
      <c r="D187" s="41"/>
      <c r="E187" s="41"/>
      <c r="F187" s="41"/>
      <c r="G187" s="41"/>
      <c r="H187" s="41"/>
      <c r="I187" s="41"/>
      <c r="J187" s="41"/>
      <c r="K187" s="41"/>
      <c r="L187" s="41"/>
      <c r="M187" s="41"/>
    </row>
    <row r="188" spans="1:13" s="11" customFormat="1" x14ac:dyDescent="0.3">
      <c r="A188" s="11" t="s">
        <v>536</v>
      </c>
      <c r="E188" s="11" t="e">
        <f t="shared" ref="E188:J188" si="248">E185/E187</f>
        <v>#DIV/0!</v>
      </c>
      <c r="F188" s="11" t="e">
        <f t="shared" si="248"/>
        <v>#DIV/0!</v>
      </c>
      <c r="G188" s="11" t="e">
        <f t="shared" si="248"/>
        <v>#DIV/0!</v>
      </c>
      <c r="H188" s="11" t="e">
        <f t="shared" si="248"/>
        <v>#DIV/0!</v>
      </c>
      <c r="I188" s="11" t="e">
        <f t="shared" si="248"/>
        <v>#DIV/0!</v>
      </c>
      <c r="J188" s="11" t="e">
        <f t="shared" si="248"/>
        <v>#DIV/0!</v>
      </c>
      <c r="K188" s="11" t="e">
        <f t="shared" ref="K188:L188" si="249">K185/K187</f>
        <v>#DIV/0!</v>
      </c>
      <c r="L188" s="11" t="e">
        <f t="shared" si="249"/>
        <v>#DIV/0!</v>
      </c>
    </row>
    <row r="189" spans="1:13" s="11" customFormat="1" x14ac:dyDescent="0.3">
      <c r="A189" s="11" t="s">
        <v>537</v>
      </c>
      <c r="E189" s="11" t="e">
        <f t="shared" ref="E189:J189" si="250">E186/E187</f>
        <v>#DIV/0!</v>
      </c>
      <c r="F189" s="11" t="e">
        <f t="shared" si="250"/>
        <v>#DIV/0!</v>
      </c>
      <c r="G189" s="11" t="e">
        <f t="shared" si="250"/>
        <v>#DIV/0!</v>
      </c>
      <c r="H189" s="11" t="e">
        <f t="shared" si="250"/>
        <v>#DIV/0!</v>
      </c>
      <c r="I189" s="11" t="e">
        <f t="shared" si="250"/>
        <v>#DIV/0!</v>
      </c>
      <c r="J189" s="11" t="e">
        <f t="shared" si="250"/>
        <v>#DIV/0!</v>
      </c>
      <c r="K189" s="11" t="e">
        <f t="shared" ref="K189:L189" si="251">K186/K187</f>
        <v>#DIV/0!</v>
      </c>
      <c r="L189" s="11" t="e">
        <f t="shared" si="251"/>
        <v>#DIV/0!</v>
      </c>
    </row>
    <row r="191" spans="1:13" x14ac:dyDescent="0.3">
      <c r="A191" s="277" t="s">
        <v>547</v>
      </c>
      <c r="B191" s="276"/>
      <c r="C191" s="276"/>
      <c r="D191" s="276"/>
      <c r="E191" s="276"/>
      <c r="F191" s="276"/>
      <c r="G191" s="276"/>
      <c r="H191" s="276"/>
      <c r="I191" s="276"/>
      <c r="J191" s="276"/>
      <c r="K191" s="276"/>
      <c r="L191" s="276"/>
      <c r="M191" s="276"/>
    </row>
    <row r="192" spans="1:13" x14ac:dyDescent="0.3">
      <c r="A192" s="11"/>
      <c r="B192" s="2" t="str">
        <f t="shared" ref="B192" si="252">IFERROR((B191/A191)-1, "N/A")</f>
        <v>N/A</v>
      </c>
      <c r="C192" s="2" t="str">
        <f t="shared" ref="C192" si="253">IFERROR((C191/B191)-1, "N/A")</f>
        <v>N/A</v>
      </c>
      <c r="D192" s="2" t="str">
        <f t="shared" ref="D192" si="254">IFERROR((D191/C191)-1, "N/A")</f>
        <v>N/A</v>
      </c>
      <c r="E192" s="2" t="str">
        <f t="shared" ref="E192" si="255">IFERROR((E191/D191)-1, "N/A")</f>
        <v>N/A</v>
      </c>
      <c r="F192" s="2" t="str">
        <f t="shared" ref="F192" si="256">IFERROR((F191/E191)-1, "N/A")</f>
        <v>N/A</v>
      </c>
      <c r="G192" s="2" t="str">
        <f t="shared" ref="G192" si="257">IFERROR((G191/F191)-1, "N/A")</f>
        <v>N/A</v>
      </c>
      <c r="H192" s="2" t="str">
        <f t="shared" ref="H192:L192" si="258">IFERROR((H191/G191)-1, "N/A")</f>
        <v>N/A</v>
      </c>
      <c r="I192" s="2" t="str">
        <f t="shared" si="258"/>
        <v>N/A</v>
      </c>
      <c r="J192" s="2" t="str">
        <f t="shared" si="258"/>
        <v>N/A</v>
      </c>
      <c r="K192" s="2" t="str">
        <f t="shared" si="258"/>
        <v>N/A</v>
      </c>
      <c r="L192" s="2" t="str">
        <f t="shared" si="258"/>
        <v>N/A</v>
      </c>
      <c r="M192" s="2" t="str">
        <f t="shared" ref="M192" si="259">IFERROR((M191/H191)-1, "N/A")</f>
        <v>N/A</v>
      </c>
    </row>
    <row r="194" spans="1:13" x14ac:dyDescent="0.3">
      <c r="A194" s="274" t="s">
        <v>549</v>
      </c>
      <c r="B194" s="274"/>
      <c r="C194" s="274"/>
      <c r="D194" s="274"/>
      <c r="E194" s="274"/>
      <c r="F194" s="274"/>
      <c r="G194" s="274"/>
      <c r="H194" s="274"/>
      <c r="I194" s="274"/>
      <c r="J194" s="274"/>
      <c r="K194" s="274"/>
      <c r="L194" s="274"/>
      <c r="M194" s="274"/>
    </row>
    <row r="196" spans="1:13" x14ac:dyDescent="0.3">
      <c r="A196" s="13" t="s">
        <v>550</v>
      </c>
      <c r="B196" s="41"/>
      <c r="C196" s="41"/>
      <c r="D196" s="41"/>
      <c r="E196" s="41"/>
      <c r="F196" s="41"/>
      <c r="G196" s="41"/>
      <c r="H196" s="41"/>
      <c r="I196" s="41"/>
      <c r="J196" s="41"/>
      <c r="K196" s="41"/>
      <c r="L196" s="41"/>
      <c r="M196" s="41"/>
    </row>
    <row r="197" spans="1:13" x14ac:dyDescent="0.3">
      <c r="A197" s="13" t="s">
        <v>551</v>
      </c>
      <c r="B197" s="41">
        <f>'Annual Inc Statement Reported'!B31</f>
        <v>0</v>
      </c>
      <c r="C197" s="41">
        <f>'Annual Inc Statement Reported'!C31</f>
        <v>0</v>
      </c>
      <c r="D197" s="41">
        <f>'Annual Inc Statement Reported'!D31</f>
        <v>0</v>
      </c>
      <c r="E197" s="41">
        <f>'Annual Inc Statement Reported'!E31</f>
        <v>0</v>
      </c>
      <c r="F197" s="41">
        <f>'Annual Inc Statement Reported'!F31</f>
        <v>0</v>
      </c>
      <c r="G197" s="41">
        <f>'Annual Inc Statement Reported'!G31</f>
        <v>0</v>
      </c>
      <c r="H197" s="41">
        <f>'Annual Inc Statement Reported'!H31</f>
        <v>0</v>
      </c>
      <c r="I197" s="41">
        <f>'Annual Inc Statement Reported'!I31</f>
        <v>0</v>
      </c>
      <c r="J197" s="41">
        <f>'Annual Inc Statement Reported'!J31</f>
        <v>0</v>
      </c>
      <c r="K197" s="41">
        <f>'Annual Inc Statement Reported'!K31</f>
        <v>0</v>
      </c>
      <c r="L197" s="41">
        <f>'Annual Inc Statement Reported'!M31</f>
        <v>0</v>
      </c>
      <c r="M197" s="41">
        <f>'Annual Inc Statement Reported'!M31</f>
        <v>0</v>
      </c>
    </row>
    <row r="198" spans="1:13" x14ac:dyDescent="0.3">
      <c r="A198" s="11"/>
      <c r="B198" s="2" t="str">
        <f t="shared" ref="B198" si="260">IFERROR((B197/A197)-1, "N/A")</f>
        <v>N/A</v>
      </c>
      <c r="C198" s="2" t="str">
        <f t="shared" ref="C198" si="261">IFERROR((C197/B197)-1, "N/A")</f>
        <v>N/A</v>
      </c>
      <c r="D198" s="2" t="str">
        <f t="shared" ref="D198" si="262">IFERROR((D197/C197)-1, "N/A")</f>
        <v>N/A</v>
      </c>
      <c r="E198" s="2" t="str">
        <f t="shared" ref="E198" si="263">IFERROR((E197/D197)-1, "N/A")</f>
        <v>N/A</v>
      </c>
      <c r="F198" s="2" t="str">
        <f t="shared" ref="F198" si="264">IFERROR((F197/E197)-1, "N/A")</f>
        <v>N/A</v>
      </c>
      <c r="G198" s="2" t="str">
        <f t="shared" ref="G198" si="265">IFERROR((G197/F197)-1, "N/A")</f>
        <v>N/A</v>
      </c>
      <c r="H198" s="2" t="str">
        <f t="shared" ref="H198:L198" si="266">IFERROR((H197/G197)-1, "N/A")</f>
        <v>N/A</v>
      </c>
      <c r="I198" s="2" t="str">
        <f t="shared" si="266"/>
        <v>N/A</v>
      </c>
      <c r="J198" s="2" t="str">
        <f t="shared" si="266"/>
        <v>N/A</v>
      </c>
      <c r="K198" s="2" t="str">
        <f t="shared" si="266"/>
        <v>N/A</v>
      </c>
      <c r="L198" s="2" t="str">
        <f t="shared" si="266"/>
        <v>N/A</v>
      </c>
      <c r="M198" s="2" t="str">
        <f t="shared" ref="M198" si="267">IFERROR((M197/H197)-1, "N/A")</f>
        <v>N/A</v>
      </c>
    </row>
    <row r="199" spans="1:13" x14ac:dyDescent="0.3">
      <c r="A199" s="13" t="s">
        <v>552</v>
      </c>
      <c r="G199" s="13">
        <v>0</v>
      </c>
      <c r="H199" s="13">
        <v>0</v>
      </c>
      <c r="I199" s="13">
        <v>0</v>
      </c>
      <c r="J199" s="13">
        <v>0</v>
      </c>
      <c r="K199" s="13">
        <v>0</v>
      </c>
      <c r="L199" s="13">
        <v>0</v>
      </c>
      <c r="M199" s="13">
        <v>0</v>
      </c>
    </row>
    <row r="201" spans="1:13" x14ac:dyDescent="0.3">
      <c r="A201" s="280" t="s">
        <v>553</v>
      </c>
      <c r="B201" s="280"/>
      <c r="C201" s="280"/>
      <c r="D201" s="280"/>
      <c r="E201" s="280"/>
      <c r="F201" s="280"/>
      <c r="G201" s="280"/>
      <c r="H201" s="280"/>
      <c r="I201" s="280"/>
      <c r="J201" s="280"/>
      <c r="K201" s="280"/>
      <c r="L201" s="280"/>
      <c r="M201" s="280"/>
    </row>
    <row r="203" spans="1:13" x14ac:dyDescent="0.3">
      <c r="A203" s="13" t="s">
        <v>554</v>
      </c>
      <c r="B203" s="13">
        <f>'Balance Sheet US$'!B28</f>
        <v>155.77499999999998</v>
      </c>
      <c r="C203" s="13">
        <f>'Balance Sheet US$'!C28</f>
        <v>181.078</v>
      </c>
      <c r="D203" s="13">
        <f>'Balance Sheet US$'!D28</f>
        <v>150.44999999999999</v>
      </c>
      <c r="E203" s="13">
        <f>'Balance Sheet US$'!E28</f>
        <v>127.91208</v>
      </c>
      <c r="F203" s="13">
        <f>'Balance Sheet US$'!F28</f>
        <v>140.62010000000001</v>
      </c>
      <c r="G203" s="13">
        <f>'Balance Sheet US$'!G28</f>
        <v>131.43129999999999</v>
      </c>
      <c r="H203" s="13">
        <f>'Balance Sheet US$'!H28</f>
        <v>138.54748603351956</v>
      </c>
      <c r="I203" s="13">
        <f>'Balance Sheet US$'!I28</f>
        <v>163.86922281441414</v>
      </c>
      <c r="J203" s="13">
        <f>'Balance Sheet US$'!J28</f>
        <v>161.6102255197238</v>
      </c>
      <c r="K203" s="13">
        <f>'Balance Sheet US$'!K28</f>
        <v>163.20246343341032</v>
      </c>
      <c r="L203" s="13">
        <f>'Balance Sheet US$'!M28</f>
        <v>150.85511455308165</v>
      </c>
      <c r="M203" s="13">
        <f>'Balance Sheet US$'!M28</f>
        <v>150.85511455308165</v>
      </c>
    </row>
    <row r="204" spans="1:13" x14ac:dyDescent="0.3">
      <c r="A204" s="13" t="s">
        <v>555</v>
      </c>
      <c r="B204" s="13">
        <f t="shared" ref="B204:M204" si="268">B155+B124</f>
        <v>657.16032964792907</v>
      </c>
      <c r="C204" s="13">
        <f t="shared" si="268"/>
        <v>688.69269743029645</v>
      </c>
      <c r="D204" s="13">
        <f t="shared" si="268"/>
        <v>672.24200712256413</v>
      </c>
      <c r="E204" s="13">
        <f t="shared" si="268"/>
        <v>613.71140027189745</v>
      </c>
      <c r="F204" s="13">
        <f t="shared" si="268"/>
        <v>699.52916306332281</v>
      </c>
      <c r="G204" s="13">
        <f t="shared" si="268"/>
        <v>605.02649436847912</v>
      </c>
      <c r="H204" s="13">
        <f t="shared" si="268"/>
        <v>664.03066614349098</v>
      </c>
      <c r="I204" s="13">
        <f t="shared" si="268"/>
        <v>722.57850426723724</v>
      </c>
      <c r="J204" s="13">
        <f t="shared" si="268"/>
        <v>696.77645949646694</v>
      </c>
      <c r="K204" s="13">
        <f t="shared" ref="K204:L204" si="269">K155+K124</f>
        <v>756.65084030446906</v>
      </c>
      <c r="L204" s="13">
        <f t="shared" si="269"/>
        <v>473.58693978130293</v>
      </c>
      <c r="M204" s="13">
        <f t="shared" si="268"/>
        <v>473.58693978130293</v>
      </c>
    </row>
    <row r="205" spans="1:13" x14ac:dyDescent="0.3">
      <c r="A205" s="11" t="s">
        <v>556</v>
      </c>
      <c r="B205" s="281">
        <f>B203/B204</f>
        <v>0.23704261041358932</v>
      </c>
      <c r="C205" s="281">
        <f t="shared" ref="C205:H205" si="270">C203/C204</f>
        <v>0.26293004220264315</v>
      </c>
      <c r="D205" s="281">
        <f t="shared" si="270"/>
        <v>0.22380333035714284</v>
      </c>
      <c r="E205" s="281">
        <f t="shared" si="270"/>
        <v>0.2084238290886076</v>
      </c>
      <c r="F205" s="281">
        <f t="shared" si="270"/>
        <v>0.20102106877747253</v>
      </c>
      <c r="G205" s="281">
        <f t="shared" si="270"/>
        <v>0.21723230506985769</v>
      </c>
      <c r="H205" s="281">
        <f t="shared" si="270"/>
        <v>0.20864621635347894</v>
      </c>
      <c r="I205" s="281">
        <f t="shared" ref="I205:M205" si="271">I203/I204</f>
        <v>0.22678397135629297</v>
      </c>
      <c r="J205" s="281">
        <f t="shared" si="271"/>
        <v>0.23193984715917812</v>
      </c>
      <c r="K205" s="281">
        <f t="shared" ref="K205:L205" si="272">K203/K204</f>
        <v>0.21569058638425512</v>
      </c>
      <c r="L205" s="281">
        <f t="shared" si="272"/>
        <v>0.31853731993273471</v>
      </c>
      <c r="M205" s="281">
        <f t="shared" si="271"/>
        <v>0.31853731993273471</v>
      </c>
    </row>
    <row r="207" spans="1:13" x14ac:dyDescent="0.3">
      <c r="A207" s="280" t="s">
        <v>589</v>
      </c>
      <c r="B207" s="280"/>
      <c r="C207" s="280"/>
      <c r="D207" s="280"/>
      <c r="E207" s="280"/>
      <c r="F207" s="280"/>
      <c r="G207" s="280"/>
      <c r="H207" s="280"/>
      <c r="I207" s="280"/>
      <c r="J207" s="280"/>
      <c r="K207" s="280"/>
      <c r="L207" s="280"/>
      <c r="M207" s="280"/>
    </row>
    <row r="208" spans="1:13" x14ac:dyDescent="0.3">
      <c r="A208" s="13" t="s">
        <v>590</v>
      </c>
      <c r="B208" s="41"/>
      <c r="C208" s="41"/>
      <c r="D208" s="41"/>
      <c r="E208" s="41"/>
      <c r="F208" s="41"/>
      <c r="G208" s="41"/>
      <c r="H208" s="41"/>
      <c r="I208" s="41"/>
      <c r="J208" s="41"/>
      <c r="K208" s="41"/>
      <c r="L208" s="41"/>
      <c r="M208" s="41"/>
    </row>
    <row r="209" spans="1:13" x14ac:dyDescent="0.3">
      <c r="A209" s="13" t="s">
        <v>591</v>
      </c>
      <c r="B209" s="41"/>
      <c r="C209" s="41"/>
      <c r="D209" s="41"/>
      <c r="E209" s="41"/>
      <c r="F209" s="41"/>
      <c r="G209" s="41"/>
      <c r="H209" s="41"/>
      <c r="I209" s="41"/>
      <c r="J209" s="41"/>
      <c r="K209" s="41"/>
      <c r="L209" s="41"/>
      <c r="M209" s="41"/>
    </row>
    <row r="210" spans="1:13" x14ac:dyDescent="0.3">
      <c r="A210" s="13" t="s">
        <v>592</v>
      </c>
      <c r="B210" s="289">
        <f t="shared" ref="B210:M210" si="273">SUM(B208:B209)</f>
        <v>0</v>
      </c>
      <c r="C210" s="289">
        <f t="shared" si="273"/>
        <v>0</v>
      </c>
      <c r="D210" s="289">
        <f t="shared" si="273"/>
        <v>0</v>
      </c>
      <c r="E210" s="289">
        <f t="shared" si="273"/>
        <v>0</v>
      </c>
      <c r="F210" s="289">
        <f t="shared" si="273"/>
        <v>0</v>
      </c>
      <c r="G210" s="289">
        <f t="shared" si="273"/>
        <v>0</v>
      </c>
      <c r="H210" s="289">
        <f t="shared" si="273"/>
        <v>0</v>
      </c>
      <c r="I210" s="289">
        <f t="shared" si="273"/>
        <v>0</v>
      </c>
      <c r="J210" s="289">
        <f t="shared" si="273"/>
        <v>0</v>
      </c>
      <c r="K210" s="289">
        <f t="shared" ref="K210:L210" si="274">SUM(K208:K209)</f>
        <v>0</v>
      </c>
      <c r="L210" s="289">
        <f t="shared" si="274"/>
        <v>0</v>
      </c>
      <c r="M210" s="289">
        <f t="shared" si="273"/>
        <v>0</v>
      </c>
    </row>
    <row r="212" spans="1:13" x14ac:dyDescent="0.3">
      <c r="A212" s="13" t="s">
        <v>593</v>
      </c>
      <c r="B212" s="41"/>
      <c r="C212" s="41"/>
      <c r="D212" s="41"/>
      <c r="E212" s="41"/>
      <c r="F212" s="41"/>
      <c r="G212" s="41"/>
      <c r="H212" s="41"/>
      <c r="I212" s="41"/>
      <c r="J212" s="41"/>
      <c r="K212" s="41"/>
      <c r="L212" s="41"/>
      <c r="M212" s="41"/>
    </row>
    <row r="213" spans="1:13" x14ac:dyDescent="0.3">
      <c r="A213" s="13" t="s">
        <v>594</v>
      </c>
      <c r="B213" s="41"/>
      <c r="C213" s="41"/>
      <c r="D213" s="41"/>
      <c r="E213" s="41"/>
      <c r="F213" s="41"/>
      <c r="G213" s="41"/>
      <c r="H213" s="41"/>
      <c r="I213" s="41"/>
      <c r="J213" s="41"/>
      <c r="K213" s="41"/>
      <c r="L213" s="41"/>
      <c r="M213" s="41"/>
    </row>
    <row r="214" spans="1:13" x14ac:dyDescent="0.3">
      <c r="A214" s="13" t="s">
        <v>595</v>
      </c>
      <c r="B214" s="289">
        <f t="shared" ref="B214:M214" si="275">SUM(B212:B213)</f>
        <v>0</v>
      </c>
      <c r="C214" s="289">
        <f t="shared" si="275"/>
        <v>0</v>
      </c>
      <c r="D214" s="289">
        <f t="shared" si="275"/>
        <v>0</v>
      </c>
      <c r="E214" s="289">
        <f t="shared" si="275"/>
        <v>0</v>
      </c>
      <c r="F214" s="289">
        <f t="shared" si="275"/>
        <v>0</v>
      </c>
      <c r="G214" s="289">
        <f t="shared" si="275"/>
        <v>0</v>
      </c>
      <c r="H214" s="289">
        <f t="shared" si="275"/>
        <v>0</v>
      </c>
      <c r="I214" s="289">
        <f t="shared" si="275"/>
        <v>0</v>
      </c>
      <c r="J214" s="289">
        <f t="shared" si="275"/>
        <v>0</v>
      </c>
      <c r="K214" s="289">
        <f t="shared" ref="K214:L214" si="276">SUM(K212:K213)</f>
        <v>0</v>
      </c>
      <c r="L214" s="289">
        <f t="shared" si="276"/>
        <v>0</v>
      </c>
      <c r="M214" s="289">
        <f t="shared" si="275"/>
        <v>0</v>
      </c>
    </row>
    <row r="216" spans="1:13" x14ac:dyDescent="0.3">
      <c r="A216" s="13" t="s">
        <v>596</v>
      </c>
      <c r="B216" s="41"/>
      <c r="C216" s="41"/>
      <c r="D216" s="41"/>
      <c r="E216" s="41"/>
      <c r="F216" s="41"/>
      <c r="G216" s="41"/>
      <c r="H216" s="41"/>
      <c r="I216" s="41"/>
      <c r="J216" s="41"/>
      <c r="K216" s="41"/>
      <c r="L216" s="41"/>
      <c r="M216" s="41"/>
    </row>
    <row r="217" spans="1:13" x14ac:dyDescent="0.3">
      <c r="A217" s="13" t="s">
        <v>597</v>
      </c>
      <c r="B217" s="41"/>
      <c r="C217" s="41"/>
      <c r="D217" s="41"/>
      <c r="E217" s="41"/>
      <c r="F217" s="41"/>
      <c r="G217" s="290"/>
      <c r="H217" s="41"/>
      <c r="I217" s="41"/>
      <c r="J217" s="41"/>
      <c r="K217" s="41"/>
      <c r="L217" s="41"/>
      <c r="M217" s="41"/>
    </row>
    <row r="218" spans="1:13" x14ac:dyDescent="0.3">
      <c r="A218" s="13" t="s">
        <v>598</v>
      </c>
      <c r="B218" s="289">
        <f t="shared" ref="B218:M218" si="277">SUM(B216:B217)</f>
        <v>0</v>
      </c>
      <c r="C218" s="289">
        <f t="shared" si="277"/>
        <v>0</v>
      </c>
      <c r="D218" s="289">
        <f t="shared" si="277"/>
        <v>0</v>
      </c>
      <c r="E218" s="289">
        <f t="shared" si="277"/>
        <v>0</v>
      </c>
      <c r="F218" s="289">
        <f t="shared" si="277"/>
        <v>0</v>
      </c>
      <c r="G218" s="289">
        <f t="shared" si="277"/>
        <v>0</v>
      </c>
      <c r="H218" s="289">
        <f t="shared" si="277"/>
        <v>0</v>
      </c>
      <c r="I218" s="289">
        <f t="shared" si="277"/>
        <v>0</v>
      </c>
      <c r="J218" s="289">
        <f t="shared" si="277"/>
        <v>0</v>
      </c>
      <c r="K218" s="289">
        <f t="shared" ref="K218:L218" si="278">SUM(K216:K217)</f>
        <v>0</v>
      </c>
      <c r="L218" s="289">
        <f t="shared" si="278"/>
        <v>0</v>
      </c>
      <c r="M218" s="289">
        <f t="shared" si="277"/>
        <v>0</v>
      </c>
    </row>
    <row r="219" spans="1:13" x14ac:dyDescent="0.3">
      <c r="G219" s="286"/>
    </row>
    <row r="220" spans="1:13" x14ac:dyDescent="0.3">
      <c r="A220" s="13" t="s">
        <v>599</v>
      </c>
      <c r="B220" s="41"/>
      <c r="C220" s="41"/>
      <c r="D220" s="41"/>
      <c r="E220" s="41"/>
      <c r="F220" s="41"/>
      <c r="G220" s="290"/>
      <c r="H220" s="41"/>
      <c r="I220" s="41"/>
      <c r="J220" s="41"/>
      <c r="K220" s="41"/>
      <c r="L220" s="41"/>
      <c r="M220" s="41"/>
    </row>
    <row r="221" spans="1:13" x14ac:dyDescent="0.3">
      <c r="A221" s="13" t="s">
        <v>600</v>
      </c>
      <c r="B221" s="41"/>
      <c r="C221" s="41"/>
      <c r="D221" s="41"/>
      <c r="E221" s="41"/>
      <c r="F221" s="41"/>
      <c r="G221" s="41"/>
      <c r="H221" s="41"/>
      <c r="I221" s="41"/>
      <c r="J221" s="41"/>
      <c r="K221" s="41"/>
      <c r="L221" s="41"/>
      <c r="M221" s="41"/>
    </row>
    <row r="222" spans="1:13" x14ac:dyDescent="0.3">
      <c r="A222" s="13" t="s">
        <v>601</v>
      </c>
      <c r="B222" s="289">
        <f t="shared" ref="B222:M222" si="279">SUM(B220:B221)</f>
        <v>0</v>
      </c>
      <c r="C222" s="289">
        <f t="shared" si="279"/>
        <v>0</v>
      </c>
      <c r="D222" s="289">
        <f t="shared" si="279"/>
        <v>0</v>
      </c>
      <c r="E222" s="289">
        <f t="shared" si="279"/>
        <v>0</v>
      </c>
      <c r="F222" s="289">
        <f t="shared" si="279"/>
        <v>0</v>
      </c>
      <c r="G222" s="289">
        <f t="shared" si="279"/>
        <v>0</v>
      </c>
      <c r="H222" s="289">
        <f t="shared" si="279"/>
        <v>0</v>
      </c>
      <c r="I222" s="289">
        <f t="shared" si="279"/>
        <v>0</v>
      </c>
      <c r="J222" s="289">
        <f t="shared" si="279"/>
        <v>0</v>
      </c>
      <c r="K222" s="289">
        <f t="shared" ref="K222:L222" si="280">SUM(K220:K221)</f>
        <v>0</v>
      </c>
      <c r="L222" s="289">
        <f t="shared" si="280"/>
        <v>0</v>
      </c>
      <c r="M222" s="289">
        <f t="shared" si="279"/>
        <v>0</v>
      </c>
    </row>
    <row r="223" spans="1:13" x14ac:dyDescent="0.3">
      <c r="G223" s="286"/>
    </row>
    <row r="224" spans="1:13" x14ac:dyDescent="0.3">
      <c r="A224" s="11" t="s">
        <v>602</v>
      </c>
      <c r="B224" s="11">
        <f>B210+B214+B218+B222</f>
        <v>0</v>
      </c>
      <c r="C224" s="11">
        <f t="shared" ref="C224:M224" si="281">C210+C214+C218+C222</f>
        <v>0</v>
      </c>
      <c r="D224" s="11">
        <f t="shared" si="281"/>
        <v>0</v>
      </c>
      <c r="E224" s="11">
        <f t="shared" si="281"/>
        <v>0</v>
      </c>
      <c r="F224" s="11">
        <f t="shared" si="281"/>
        <v>0</v>
      </c>
      <c r="G224" s="11">
        <f t="shared" si="281"/>
        <v>0</v>
      </c>
      <c r="H224" s="11">
        <f t="shared" si="281"/>
        <v>0</v>
      </c>
      <c r="I224" s="11">
        <f t="shared" si="281"/>
        <v>0</v>
      </c>
      <c r="J224" s="11">
        <f t="shared" si="281"/>
        <v>0</v>
      </c>
      <c r="K224" s="11">
        <f t="shared" ref="K224:L224" si="282">K210+K214+K218+K222</f>
        <v>0</v>
      </c>
      <c r="L224" s="11">
        <f t="shared" si="282"/>
        <v>0</v>
      </c>
      <c r="M224" s="11">
        <f t="shared" si="281"/>
        <v>0</v>
      </c>
    </row>
    <row r="225" spans="1:15" x14ac:dyDescent="0.3">
      <c r="A225" s="13" t="s">
        <v>603</v>
      </c>
      <c r="B225" s="286">
        <f>-'Annual Inc Statement Reported'!B38</f>
        <v>377</v>
      </c>
      <c r="C225" s="286">
        <f>-'Annual Inc Statement Reported'!C38</f>
        <v>316</v>
      </c>
      <c r="D225" s="286">
        <f>-'Annual Inc Statement Reported'!D38</f>
        <v>286</v>
      </c>
      <c r="E225" s="286">
        <f>-'Annual Inc Statement Reported'!E38</f>
        <v>351</v>
      </c>
      <c r="F225" s="286">
        <f>-'Annual Inc Statement Reported'!F38</f>
        <v>292</v>
      </c>
      <c r="G225" s="286">
        <f>-'Annual Inc Statement Reported'!G38</f>
        <v>319</v>
      </c>
      <c r="H225" s="286">
        <f>-'Annual Inc Statement Reported'!H38</f>
        <v>316</v>
      </c>
      <c r="I225" s="286">
        <f>-'Annual Inc Statement Reported'!I38</f>
        <v>275</v>
      </c>
      <c r="J225" s="286">
        <f>-'Annual Inc Statement Reported'!J38</f>
        <v>532</v>
      </c>
      <c r="K225" s="286">
        <f>-'Annual Inc Statement Reported'!K38</f>
        <v>480</v>
      </c>
      <c r="L225" s="286">
        <f>-'Annual Inc Statement Reported'!M38</f>
        <v>721</v>
      </c>
      <c r="M225" s="286">
        <f>-'Annual Inc Statement Reported'!M38</f>
        <v>721</v>
      </c>
    </row>
    <row r="226" spans="1:15" x14ac:dyDescent="0.3">
      <c r="A226" s="13" t="s">
        <v>604</v>
      </c>
      <c r="B226" s="267" t="str">
        <f t="shared" ref="B226:F226" si="283">IFERROR(B225/ AVERAGE(A224:B224),"")</f>
        <v/>
      </c>
      <c r="C226" s="267" t="str">
        <f t="shared" si="283"/>
        <v/>
      </c>
      <c r="D226" s="267" t="str">
        <f t="shared" si="283"/>
        <v/>
      </c>
      <c r="E226" s="267" t="str">
        <f t="shared" si="283"/>
        <v/>
      </c>
      <c r="F226" s="267" t="str">
        <f t="shared" si="283"/>
        <v/>
      </c>
      <c r="G226" s="267" t="str">
        <f>IFERROR(G225/ AVERAGE(F224:G224),"")</f>
        <v/>
      </c>
      <c r="H226" s="267" t="str">
        <f t="shared" ref="H226:L226" si="284">IFERROR(H225/ AVERAGE(G224:H224),"")</f>
        <v/>
      </c>
      <c r="I226" s="267" t="str">
        <f t="shared" si="284"/>
        <v/>
      </c>
      <c r="J226" s="267" t="str">
        <f t="shared" si="284"/>
        <v/>
      </c>
      <c r="K226" s="267" t="str">
        <f t="shared" si="284"/>
        <v/>
      </c>
      <c r="L226" s="267" t="str">
        <f t="shared" si="284"/>
        <v/>
      </c>
      <c r="M226" s="267" t="str">
        <f>IFERROR(M225/ AVERAGE(H224:M224),"")</f>
        <v/>
      </c>
      <c r="O226" s="291" t="s">
        <v>605</v>
      </c>
    </row>
    <row r="227" spans="1:15" x14ac:dyDescent="0.3">
      <c r="B227" s="267"/>
      <c r="C227" s="267"/>
      <c r="D227" s="267"/>
      <c r="E227" s="267"/>
      <c r="F227" s="267"/>
      <c r="G227" s="267"/>
      <c r="H227" s="267"/>
      <c r="I227" s="267"/>
      <c r="J227" s="267"/>
      <c r="K227" s="267"/>
      <c r="L227" s="267"/>
      <c r="M227" s="267"/>
      <c r="O227" s="291"/>
    </row>
    <row r="228" spans="1:15" x14ac:dyDescent="0.3">
      <c r="A228" s="280" t="s">
        <v>557</v>
      </c>
      <c r="B228" s="280"/>
      <c r="C228" s="280"/>
      <c r="D228" s="280"/>
      <c r="E228" s="280"/>
      <c r="F228" s="280"/>
      <c r="G228" s="280"/>
      <c r="H228" s="280"/>
      <c r="I228" s="280"/>
      <c r="J228" s="280"/>
      <c r="K228" s="280"/>
      <c r="L228" s="280"/>
      <c r="M228" s="280"/>
    </row>
    <row r="229" spans="1:15" x14ac:dyDescent="0.3">
      <c r="A229" s="13" t="s">
        <v>558</v>
      </c>
      <c r="B229" s="13">
        <f>'Balance Sheet US$'!B8+'Balance Sheet US$'!B9</f>
        <v>5170.7249999999985</v>
      </c>
      <c r="C229" s="13">
        <f>'Balance Sheet US$'!C8+'Balance Sheet US$'!C9</f>
        <v>4253.8647999999994</v>
      </c>
      <c r="D229" s="13">
        <f>'Balance Sheet US$'!D8+'Balance Sheet US$'!D9</f>
        <v>3880.6069999999995</v>
      </c>
      <c r="E229" s="13">
        <f>'Balance Sheet US$'!E8+'Balance Sheet US$'!E9</f>
        <v>3957.7502399999998</v>
      </c>
      <c r="F229" s="13">
        <f>'Balance Sheet US$'!F8+'Balance Sheet US$'!F9</f>
        <v>4265.1887999999999</v>
      </c>
      <c r="G229" s="13">
        <f>'Balance Sheet US$'!G8+'Balance Sheet US$'!G9</f>
        <v>4087.3689999999997</v>
      </c>
      <c r="H229" s="13">
        <f>'Balance Sheet US$'!H8+'Balance Sheet US$'!H9</f>
        <v>5236.4990689013039</v>
      </c>
      <c r="I229" s="13">
        <f>'Balance Sheet US$'!I8+'Balance Sheet US$'!I9</f>
        <v>6000.3181926656598</v>
      </c>
      <c r="J229" s="13">
        <f>'Balance Sheet US$'!J8+'Balance Sheet US$'!J9</f>
        <v>7822.6695070888127</v>
      </c>
      <c r="K229" s="13">
        <f>'Balance Sheet US$'!K8+'Balance Sheet US$'!K9</f>
        <v>8565.0500384911484</v>
      </c>
      <c r="L229" s="13">
        <f>'Balance Sheet US$'!M8+'Balance Sheet US$'!M9</f>
        <v>9466.7634720877704</v>
      </c>
      <c r="M229" s="13">
        <f>'Balance Sheet US$'!M8+'Balance Sheet US$'!M9</f>
        <v>9466.7634720877704</v>
      </c>
    </row>
    <row r="230" spans="1:15" x14ac:dyDescent="0.3">
      <c r="A230" s="13" t="s">
        <v>559</v>
      </c>
      <c r="B230" s="13">
        <f>'Balance Sheet US$'!B10</f>
        <v>0</v>
      </c>
      <c r="C230" s="13">
        <f>'Balance Sheet US$'!C10</f>
        <v>93.964799999999997</v>
      </c>
      <c r="D230" s="13">
        <f>'Balance Sheet US$'!D10</f>
        <v>324.97199999999998</v>
      </c>
      <c r="E230" s="13">
        <f>'Balance Sheet US$'!E10</f>
        <v>334.82868000000002</v>
      </c>
      <c r="F230" s="13">
        <f>'Balance Sheet US$'!F10</f>
        <v>420.13490000000002</v>
      </c>
      <c r="G230" s="13">
        <f>'Balance Sheet US$'!G10</f>
        <v>556.05549999999994</v>
      </c>
      <c r="H230" s="13">
        <f>'Balance Sheet US$'!H10</f>
        <v>668.15642458100558</v>
      </c>
      <c r="I230" s="13">
        <f>'Balance Sheet US$'!I10</f>
        <v>845.59700898894289</v>
      </c>
      <c r="J230" s="13">
        <f>'Balance Sheet US$'!J10</f>
        <v>685.37427459046501</v>
      </c>
      <c r="K230" s="13">
        <f>'Balance Sheet US$'!K10</f>
        <v>801.38568129330258</v>
      </c>
      <c r="L230" s="13">
        <f>'Balance Sheet US$'!M10</f>
        <v>0</v>
      </c>
      <c r="M230" s="13">
        <f>'Balance Sheet US$'!M10</f>
        <v>0</v>
      </c>
    </row>
    <row r="231" spans="1:15" x14ac:dyDescent="0.3">
      <c r="A231" s="11" t="s">
        <v>560</v>
      </c>
      <c r="B231" s="11">
        <f>B229+B230</f>
        <v>5170.7249999999985</v>
      </c>
      <c r="C231" s="11">
        <f t="shared" ref="C231:M231" si="285">C229+C230</f>
        <v>4347.8295999999991</v>
      </c>
      <c r="D231" s="11">
        <f t="shared" si="285"/>
        <v>4205.5789999999997</v>
      </c>
      <c r="E231" s="11">
        <f t="shared" si="285"/>
        <v>4292.5789199999999</v>
      </c>
      <c r="F231" s="11">
        <f t="shared" si="285"/>
        <v>4685.3236999999999</v>
      </c>
      <c r="G231" s="11">
        <f t="shared" si="285"/>
        <v>4643.4244999999992</v>
      </c>
      <c r="H231" s="11">
        <f t="shared" si="285"/>
        <v>5904.6554934823098</v>
      </c>
      <c r="I231" s="11">
        <f t="shared" si="285"/>
        <v>6845.9152016546032</v>
      </c>
      <c r="J231" s="11">
        <f t="shared" si="285"/>
        <v>8508.0437816792783</v>
      </c>
      <c r="K231" s="11">
        <f t="shared" ref="K231:L231" si="286">K229+K230</f>
        <v>9366.4357197844511</v>
      </c>
      <c r="L231" s="11">
        <f t="shared" si="286"/>
        <v>9466.7634720877704</v>
      </c>
      <c r="M231" s="11">
        <f t="shared" si="285"/>
        <v>9466.7634720877704</v>
      </c>
    </row>
    <row r="232" spans="1:15" x14ac:dyDescent="0.3">
      <c r="A232" s="13" t="s">
        <v>565</v>
      </c>
      <c r="B232" s="13">
        <f>'Balance Sheet US$'!B16</f>
        <v>844.19999999999993</v>
      </c>
      <c r="C232" s="13">
        <f>'Balance Sheet US$'!C16</f>
        <v>609.79239999999993</v>
      </c>
      <c r="D232" s="13">
        <f>'Balance Sheet US$'!D16</f>
        <v>626.87499999999989</v>
      </c>
      <c r="E232" s="13">
        <f>'Balance Sheet US$'!E16</f>
        <v>578.42594999999994</v>
      </c>
      <c r="F232" s="13">
        <f>'Balance Sheet US$'!F16</f>
        <v>531.42319999999995</v>
      </c>
      <c r="G232" s="13">
        <f>'Balance Sheet US$'!G16</f>
        <v>451.34374999999994</v>
      </c>
      <c r="H232" s="13">
        <f>'Balance Sheet US$'!H16</f>
        <v>466.29422718808195</v>
      </c>
      <c r="I232" s="13">
        <f>'Balance Sheet US$'!I16</f>
        <v>500.35796674886649</v>
      </c>
      <c r="J232" s="13">
        <f>'Balance Sheet US$'!J16</f>
        <v>525.23323293910232</v>
      </c>
      <c r="K232" s="13">
        <f>'Balance Sheet US$'!K16</f>
        <v>3290.9930715935338</v>
      </c>
      <c r="L232" s="13">
        <f>'Balance Sheet US$'!M16</f>
        <v>3523.7173281703776</v>
      </c>
      <c r="M232" s="13">
        <f>'Balance Sheet US$'!M16</f>
        <v>3523.7173281703776</v>
      </c>
    </row>
    <row r="233" spans="1:15" x14ac:dyDescent="0.3">
      <c r="A233" s="13" t="s">
        <v>561</v>
      </c>
      <c r="B233" s="13">
        <f>'Balance Sheet US$'!B15</f>
        <v>0</v>
      </c>
      <c r="C233" s="13">
        <f>'Balance Sheet US$'!C15</f>
        <v>0</v>
      </c>
      <c r="D233" s="13">
        <f>'Balance Sheet US$'!D15</f>
        <v>0</v>
      </c>
      <c r="E233" s="13">
        <f>'Balance Sheet US$'!E15</f>
        <v>0</v>
      </c>
      <c r="F233" s="13">
        <f>'Balance Sheet US$'!F15</f>
        <v>0</v>
      </c>
      <c r="G233" s="13">
        <f>'Balance Sheet US$'!G15</f>
        <v>0</v>
      </c>
      <c r="H233" s="13">
        <f>'Balance Sheet US$'!H15</f>
        <v>0</v>
      </c>
      <c r="I233" s="13">
        <f>'Balance Sheet US$'!I15</f>
        <v>0</v>
      </c>
      <c r="J233" s="13">
        <f>'Balance Sheet US$'!J15</f>
        <v>0</v>
      </c>
      <c r="K233" s="13">
        <f>'Balance Sheet US$'!K15</f>
        <v>0</v>
      </c>
      <c r="L233" s="13">
        <f>'Balance Sheet US$'!M15</f>
        <v>0</v>
      </c>
      <c r="M233" s="13">
        <f>'Balance Sheet US$'!M15</f>
        <v>0</v>
      </c>
    </row>
    <row r="234" spans="1:15" x14ac:dyDescent="0.3">
      <c r="A234" s="13" t="s">
        <v>562</v>
      </c>
      <c r="B234" s="13">
        <f>'Balance Sheet US$'!B11+'Balance Sheet US$'!B12</f>
        <v>605.01</v>
      </c>
      <c r="C234" s="13">
        <f>'Balance Sheet US$'!C11+'Balance Sheet US$'!C12</f>
        <v>632.30479999999989</v>
      </c>
      <c r="D234" s="13">
        <f>'Balance Sheet US$'!D11+'Balance Sheet US$'!D12</f>
        <v>680.03399999999988</v>
      </c>
      <c r="E234" s="13">
        <f>'Balance Sheet US$'!E11+'Balance Sheet US$'!E12</f>
        <v>478.72976999999997</v>
      </c>
      <c r="F234" s="13">
        <f>'Balance Sheet US$'!F11+'Balance Sheet US$'!F12</f>
        <v>489.15090000000004</v>
      </c>
      <c r="G234" s="13">
        <f>'Balance Sheet US$'!G11+'Balance Sheet US$'!G12</f>
        <v>433.28999999999996</v>
      </c>
      <c r="H234" s="13">
        <f>'Balance Sheet US$'!H11+'Balance Sheet US$'!H12</f>
        <v>441.71322160148975</v>
      </c>
      <c r="I234" s="13">
        <f>'Balance Sheet US$'!I11+'Balance Sheet US$'!I12</f>
        <v>513.88115503937638</v>
      </c>
      <c r="J234" s="13">
        <f>'Balance Sheet US$'!J11+'Balance Sheet US$'!J12</f>
        <v>441.48975244251818</v>
      </c>
      <c r="K234" s="13">
        <f>'Balance Sheet US$'!K11+'Balance Sheet US$'!K12</f>
        <v>513.4719014626636</v>
      </c>
      <c r="L234" s="13">
        <f>'Balance Sheet US$'!M11+'Balance Sheet US$'!M12</f>
        <v>0</v>
      </c>
      <c r="M234" s="13">
        <f>'Balance Sheet US$'!M11+'Balance Sheet US$'!M12</f>
        <v>0</v>
      </c>
    </row>
    <row r="235" spans="1:15" x14ac:dyDescent="0.3">
      <c r="A235" s="13" t="s">
        <v>563</v>
      </c>
      <c r="B235" s="13">
        <f>'Balance Sheet US$'!B20</f>
        <v>0</v>
      </c>
      <c r="C235" s="13">
        <f>'Balance Sheet US$'!C20</f>
        <v>0</v>
      </c>
      <c r="D235" s="13">
        <f>'Balance Sheet US$'!D20</f>
        <v>0</v>
      </c>
      <c r="E235" s="13">
        <f>'Balance Sheet US$'!E20</f>
        <v>0</v>
      </c>
      <c r="F235" s="13">
        <f>'Balance Sheet US$'!F20</f>
        <v>0</v>
      </c>
      <c r="G235" s="13">
        <f>'Balance Sheet US$'!G20</f>
        <v>0</v>
      </c>
      <c r="H235" s="13">
        <f>'Balance Sheet US$'!H20</f>
        <v>0</v>
      </c>
      <c r="I235" s="13">
        <f>'Balance Sheet US$'!I20</f>
        <v>0</v>
      </c>
      <c r="J235" s="13">
        <f>'Balance Sheet US$'!J20</f>
        <v>0</v>
      </c>
      <c r="K235" s="13">
        <f>'Balance Sheet US$'!K20</f>
        <v>0</v>
      </c>
      <c r="L235" s="13">
        <f>'Balance Sheet US$'!M20</f>
        <v>0</v>
      </c>
      <c r="M235" s="13">
        <f>'Balance Sheet US$'!M20</f>
        <v>0</v>
      </c>
    </row>
    <row r="236" spans="1:15" x14ac:dyDescent="0.3">
      <c r="A236" s="13" t="s">
        <v>564</v>
      </c>
      <c r="B236" s="13">
        <f>'Balance Sheet US$'!B14+'Balance Sheet US$'!B17+'Balance Sheet US$'!B18+'Balance Sheet US$'!B19+'Balance Sheet US$'!B21+'Balance Sheet US$'!B22</f>
        <v>514.55999999999995</v>
      </c>
      <c r="C236" s="13">
        <f>'Balance Sheet US$'!C14+'Balance Sheet US$'!C17+'Balance Sheet US$'!C18+'Balance Sheet US$'!C19+'Balance Sheet US$'!C21+'Balance Sheet US$'!C22</f>
        <v>582.38599999999997</v>
      </c>
      <c r="D236" s="13">
        <f>'Balance Sheet US$'!D14+'Balance Sheet US$'!D17+'Balance Sheet US$'!D18+'Balance Sheet US$'!D19+'Balance Sheet US$'!D21+'Balance Sheet US$'!D22</f>
        <v>511.52999999999992</v>
      </c>
      <c r="E236" s="13">
        <f>'Balance Sheet US$'!E14+'Balance Sheet US$'!E17+'Balance Sheet US$'!E18+'Balance Sheet US$'!E19+'Balance Sheet US$'!E21+'Balance Sheet US$'!E22</f>
        <v>464.62182000000001</v>
      </c>
      <c r="F236" s="13">
        <f>'Balance Sheet US$'!F14+'Balance Sheet US$'!F17+'Balance Sheet US$'!F18+'Balance Sheet US$'!F19+'Balance Sheet US$'!F21+'Balance Sheet US$'!F22</f>
        <v>479.66120000000001</v>
      </c>
      <c r="G236" s="13">
        <f>'Balance Sheet US$'!G14+'Balance Sheet US$'!G17+'Balance Sheet US$'!G18+'Balance Sheet US$'!G19+'Balance Sheet US$'!G21+'Balance Sheet US$'!G22</f>
        <v>972.73604999999986</v>
      </c>
      <c r="H236" s="13">
        <f>'Balance Sheet US$'!H14+'Balance Sheet US$'!H17+'Balance Sheet US$'!H18+'Balance Sheet US$'!H19+'Balance Sheet US$'!H21+'Balance Sheet US$'!H22</f>
        <v>1207.4487895716945</v>
      </c>
      <c r="I236" s="13">
        <f>'Balance Sheet US$'!I14+'Balance Sheet US$'!I17+'Balance Sheet US$'!I18+'Balance Sheet US$'!I19+'Balance Sheet US$'!I21+'Balance Sheet US$'!I22</f>
        <v>2004.6137936520565</v>
      </c>
      <c r="J236" s="13">
        <f>'Balance Sheet US$'!J14+'Balance Sheet US$'!J17+'Balance Sheet US$'!J18+'Balance Sheet US$'!J19+'Balance Sheet US$'!J21+'Balance Sheet US$'!J22</f>
        <v>1971.6447513406301</v>
      </c>
      <c r="K236" s="13">
        <f>'Balance Sheet US$'!K14+'Balance Sheet US$'!K17+'Balance Sheet US$'!K18+'Balance Sheet US$'!K19+'Balance Sheet US$'!K21+'Balance Sheet US$'!K22</f>
        <v>2412.6250962278677</v>
      </c>
      <c r="L236" s="13">
        <f>'Balance Sheet US$'!M14+'Balance Sheet US$'!M17+'Balance Sheet US$'!M18+'Balance Sheet US$'!M19+'Balance Sheet US$'!M21+'Balance Sheet US$'!M22</f>
        <v>3499.5159728944818</v>
      </c>
      <c r="M236" s="13">
        <f>'Balance Sheet US$'!M14+'Balance Sheet US$'!M17+'Balance Sheet US$'!M18+'Balance Sheet US$'!M19+'Balance Sheet US$'!M21+'Balance Sheet US$'!M22</f>
        <v>3499.5159728944818</v>
      </c>
    </row>
    <row r="237" spans="1:15" x14ac:dyDescent="0.3">
      <c r="A237" s="11" t="s">
        <v>253</v>
      </c>
      <c r="B237" s="11">
        <f>B231+SUM(B232:B236)</f>
        <v>7134.494999999999</v>
      </c>
      <c r="C237" s="11">
        <f t="shared" ref="C237:M237" si="287">C231+SUM(C232:C236)</f>
        <v>6172.3127999999988</v>
      </c>
      <c r="D237" s="11">
        <f t="shared" si="287"/>
        <v>6024.0179999999991</v>
      </c>
      <c r="E237" s="11">
        <f t="shared" si="287"/>
        <v>5814.35646</v>
      </c>
      <c r="F237" s="11">
        <f t="shared" si="287"/>
        <v>6185.5590000000002</v>
      </c>
      <c r="G237" s="11">
        <f t="shared" si="287"/>
        <v>6500.7942999999996</v>
      </c>
      <c r="H237" s="11">
        <f t="shared" si="287"/>
        <v>8020.1117318435763</v>
      </c>
      <c r="I237" s="11">
        <f t="shared" si="287"/>
        <v>9864.7681170949036</v>
      </c>
      <c r="J237" s="11">
        <f t="shared" si="287"/>
        <v>11446.411518401528</v>
      </c>
      <c r="K237" s="11">
        <f t="shared" ref="K237:L237" si="288">K231+SUM(K232:K236)</f>
        <v>15583.525789068517</v>
      </c>
      <c r="L237" s="11">
        <f t="shared" si="288"/>
        <v>16489.99677315263</v>
      </c>
      <c r="M237" s="11">
        <f t="shared" si="287"/>
        <v>16489.99677315263</v>
      </c>
    </row>
    <row r="239" spans="1:15" x14ac:dyDescent="0.3">
      <c r="A239" s="13" t="s">
        <v>372</v>
      </c>
      <c r="B239" s="13">
        <f>'Balance Sheet US$'!B25+'Balance Sheet US$'!B26</f>
        <v>2202.9599999999996</v>
      </c>
      <c r="C239" s="13">
        <f>'Balance Sheet US$'!C25+'Balance Sheet US$'!C26</f>
        <v>2054.5011999999997</v>
      </c>
      <c r="D239" s="13">
        <f>'Balance Sheet US$'!D25+'Balance Sheet US$'!D26</f>
        <v>2032.0779999999997</v>
      </c>
      <c r="E239" s="13">
        <f>'Balance Sheet US$'!E25+'Balance Sheet US$'!E26</f>
        <v>2076.6902399999999</v>
      </c>
      <c r="F239" s="13">
        <f>'Balance Sheet US$'!F25+'Balance Sheet US$'!F26</f>
        <v>1962.6424999999999</v>
      </c>
      <c r="G239" s="13">
        <f>'Balance Sheet US$'!G25+'Balance Sheet US$'!G26</f>
        <v>1929.5847999999999</v>
      </c>
      <c r="H239" s="13">
        <f>'Balance Sheet US$'!H25+'Balance Sheet US$'!H26</f>
        <v>2218.9944134078214</v>
      </c>
      <c r="I239" s="13">
        <f>'Balance Sheet US$'!I25+'Balance Sheet US$'!I26</f>
        <v>3026.0122504176279</v>
      </c>
      <c r="J239" s="13">
        <f>'Balance Sheet US$'!J25+'Balance Sheet US$'!J26</f>
        <v>3457.7242341879087</v>
      </c>
      <c r="K239" s="13">
        <f>'Balance Sheet US$'!K25+'Balance Sheet US$'!K26</f>
        <v>4533.4872979214779</v>
      </c>
      <c r="L239" s="13">
        <f>'Balance Sheet US$'!M25+'Balance Sheet US$'!M26</f>
        <v>7020.0064536947402</v>
      </c>
      <c r="M239" s="13">
        <f>'Balance Sheet US$'!M25+'Balance Sheet US$'!M26</f>
        <v>7020.0064536947402</v>
      </c>
    </row>
    <row r="240" spans="1:15" x14ac:dyDescent="0.3">
      <c r="A240" s="13" t="s">
        <v>566</v>
      </c>
      <c r="B240" s="13">
        <f>'Balance Sheet US$'!B30</f>
        <v>644.20499999999993</v>
      </c>
      <c r="C240" s="13">
        <f>'Balance Sheet US$'!C30</f>
        <v>696.90559999999994</v>
      </c>
      <c r="D240" s="13">
        <f>'Balance Sheet US$'!D30</f>
        <v>551.65</v>
      </c>
      <c r="E240" s="13">
        <f>'Balance Sheet US$'!E30</f>
        <v>553.97217000000001</v>
      </c>
      <c r="F240" s="13">
        <f>'Balance Sheet US$'!F30</f>
        <v>565.93119999999999</v>
      </c>
      <c r="G240" s="13">
        <f>'Balance Sheet US$'!G30</f>
        <v>472.28609999999998</v>
      </c>
      <c r="H240" s="13">
        <f>'Balance Sheet US$'!H30</f>
        <v>526.6294227188082</v>
      </c>
      <c r="I240" s="13">
        <f>'Balance Sheet US$'!I30</f>
        <v>647.52207461618013</v>
      </c>
      <c r="J240" s="13">
        <f>'Balance Sheet US$'!J30</f>
        <v>584.7351796077279</v>
      </c>
      <c r="K240" s="13">
        <f>'Balance Sheet US$'!K30</f>
        <v>712.85604311008467</v>
      </c>
      <c r="L240" s="13">
        <f>'Balance Sheet US$'!M30</f>
        <v>600.19361084220714</v>
      </c>
      <c r="M240" s="13">
        <f>'Balance Sheet US$'!M30</f>
        <v>600.19361084220714</v>
      </c>
    </row>
    <row r="241" spans="1:13" x14ac:dyDescent="0.3">
      <c r="A241" s="13" t="s">
        <v>567</v>
      </c>
      <c r="B241" s="13">
        <f>'Balance Sheet US$'!B28</f>
        <v>155.77499999999998</v>
      </c>
      <c r="C241" s="13">
        <f>'Balance Sheet US$'!C28</f>
        <v>181.078</v>
      </c>
      <c r="D241" s="13">
        <f>'Balance Sheet US$'!D28</f>
        <v>150.44999999999999</v>
      </c>
      <c r="E241" s="13">
        <f>'Balance Sheet US$'!E28</f>
        <v>127.91208</v>
      </c>
      <c r="F241" s="13">
        <f>'Balance Sheet US$'!F28</f>
        <v>140.62010000000001</v>
      </c>
      <c r="G241" s="13">
        <f>'Balance Sheet US$'!G28</f>
        <v>131.43129999999999</v>
      </c>
      <c r="H241" s="13">
        <f>'Balance Sheet US$'!H28</f>
        <v>138.54748603351956</v>
      </c>
      <c r="I241" s="13">
        <f>'Balance Sheet US$'!I28</f>
        <v>163.86922281441414</v>
      </c>
      <c r="J241" s="13">
        <f>'Balance Sheet US$'!J28</f>
        <v>161.6102255197238</v>
      </c>
      <c r="K241" s="13">
        <f>'Balance Sheet US$'!K28</f>
        <v>163.20246343341032</v>
      </c>
      <c r="L241" s="13">
        <f>'Balance Sheet US$'!M28</f>
        <v>150.85511455308165</v>
      </c>
      <c r="M241" s="13">
        <f>'Balance Sheet US$'!M28</f>
        <v>150.85511455308165</v>
      </c>
    </row>
    <row r="242" spans="1:13" x14ac:dyDescent="0.3">
      <c r="A242" s="13" t="s">
        <v>579</v>
      </c>
      <c r="B242" s="13">
        <f>'Balance Sheet US$'!B27+'Balance Sheet US$'!B29+'Balance Sheet US$'!B31+'Balance Sheet US$'!B32</f>
        <v>459.28499999999991</v>
      </c>
      <c r="C242" s="13">
        <f>'Balance Sheet US$'!C27+'Balance Sheet US$'!C29+'Balance Sheet US$'!C31+'Balance Sheet US$'!C32</f>
        <v>323.9828</v>
      </c>
      <c r="D242" s="13">
        <f>'Balance Sheet US$'!D27+'Balance Sheet US$'!D29+'Balance Sheet US$'!D31+'Balance Sheet US$'!D32</f>
        <v>328.98399999999992</v>
      </c>
      <c r="E242" s="13">
        <f>'Balance Sheet US$'!E27+'Balance Sheet US$'!E29+'Balance Sheet US$'!E31+'Balance Sheet US$'!E32</f>
        <v>333.88815</v>
      </c>
      <c r="F242" s="13">
        <f>'Balance Sheet US$'!F27+'Balance Sheet US$'!F29+'Balance Sheet US$'!F31+'Balance Sheet US$'!F32</f>
        <v>331.27679999999998</v>
      </c>
      <c r="G242" s="13">
        <f>'Balance Sheet US$'!G27+'Balance Sheet US$'!G29+'Balance Sheet US$'!G31+'Balance Sheet US$'!G32</f>
        <v>445.56654999999995</v>
      </c>
      <c r="H242" s="13">
        <f>'Balance Sheet US$'!H27+'Balance Sheet US$'!H29+'Balance Sheet US$'!H31+'Balance Sheet US$'!H32</f>
        <v>353.81750465549345</v>
      </c>
      <c r="I242" s="13">
        <f>'Balance Sheet US$'!I27+'Balance Sheet US$'!I29+'Balance Sheet US$'!I31+'Balance Sheet US$'!I32</f>
        <v>376.26282714183441</v>
      </c>
      <c r="J242" s="13">
        <f>'Balance Sheet US$'!J27+'Balance Sheet US$'!J29+'Balance Sheet US$'!J31+'Balance Sheet US$'!J32</f>
        <v>424.59413795636522</v>
      </c>
      <c r="K242" s="13">
        <f>'Balance Sheet US$'!K27+'Balance Sheet US$'!K29+'Balance Sheet US$'!K31+'Balance Sheet US$'!K32</f>
        <v>376.44341801385684</v>
      </c>
      <c r="L242" s="13">
        <f>'Balance Sheet US$'!M27+'Balance Sheet US$'!M29+'Balance Sheet US$'!M31+'Balance Sheet US$'!M32</f>
        <v>182.31687641174571</v>
      </c>
      <c r="M242" s="13">
        <f>'Balance Sheet US$'!M27+'Balance Sheet US$'!M29+'Balance Sheet US$'!M31+'Balance Sheet US$'!M32</f>
        <v>182.31687641174571</v>
      </c>
    </row>
    <row r="243" spans="1:13" s="11" customFormat="1" x14ac:dyDescent="0.3">
      <c r="A243" s="11" t="s">
        <v>374</v>
      </c>
      <c r="B243" s="11">
        <f>SUM(B239:B242)</f>
        <v>3462.2249999999995</v>
      </c>
      <c r="C243" s="11">
        <f t="shared" ref="C243:M243" si="289">SUM(C239:C242)</f>
        <v>3256.4675999999999</v>
      </c>
      <c r="D243" s="11">
        <f t="shared" si="289"/>
        <v>3063.1619999999994</v>
      </c>
      <c r="E243" s="11">
        <f t="shared" si="289"/>
        <v>3092.4626399999997</v>
      </c>
      <c r="F243" s="11">
        <f t="shared" si="289"/>
        <v>3000.4706000000001</v>
      </c>
      <c r="G243" s="11">
        <f t="shared" si="289"/>
        <v>2978.8687500000001</v>
      </c>
      <c r="H243" s="11">
        <f t="shared" si="289"/>
        <v>3237.9888268156424</v>
      </c>
      <c r="I243" s="11">
        <f t="shared" si="289"/>
        <v>4213.6663749900572</v>
      </c>
      <c r="J243" s="11">
        <f t="shared" si="289"/>
        <v>4628.6637772717258</v>
      </c>
      <c r="K243" s="11">
        <f t="shared" ref="K243:L243" si="290">SUM(K239:K242)</f>
        <v>5785.98922247883</v>
      </c>
      <c r="L243" s="11">
        <f t="shared" si="290"/>
        <v>7953.3720555017744</v>
      </c>
      <c r="M243" s="11">
        <f t="shared" si="289"/>
        <v>7953.3720555017744</v>
      </c>
    </row>
    <row r="245" spans="1:13" x14ac:dyDescent="0.3">
      <c r="A245" s="13" t="s">
        <v>568</v>
      </c>
      <c r="B245" s="13">
        <f>'Balance Sheet US$'!B38</f>
        <v>1187.9099999999999</v>
      </c>
      <c r="C245" s="13">
        <f>'Balance Sheet US$'!C38</f>
        <v>1150.0899999999999</v>
      </c>
      <c r="D245" s="13">
        <f>'Balance Sheet US$'!D38</f>
        <v>1164.4829999999999</v>
      </c>
      <c r="E245" s="13">
        <f>'Balance Sheet US$'!E38</f>
        <v>1061.8583699999999</v>
      </c>
      <c r="F245" s="13">
        <f>'Balance Sheet US$'!F38</f>
        <v>1086.1393</v>
      </c>
      <c r="G245" s="13">
        <f>'Balance Sheet US$'!G38</f>
        <v>1073.8370499999999</v>
      </c>
      <c r="H245" s="13">
        <f>'Balance Sheet US$'!H38</f>
        <v>1224.5810055865923</v>
      </c>
      <c r="I245" s="13">
        <f>'Balance Sheet US$'!I38</f>
        <v>1559.9395433935249</v>
      </c>
      <c r="J245" s="13">
        <f>'Balance Sheet US$'!J38</f>
        <v>1403.8051862190553</v>
      </c>
      <c r="K245" s="13">
        <f>'Balance Sheet US$'!K38</f>
        <v>1890.6851424172442</v>
      </c>
      <c r="L245" s="13">
        <f>'Balance Sheet US$'!M38</f>
        <v>1888.5124233623749</v>
      </c>
      <c r="M245" s="13">
        <f>'Balance Sheet US$'!M38</f>
        <v>1888.5124233623749</v>
      </c>
    </row>
    <row r="246" spans="1:13" x14ac:dyDescent="0.3">
      <c r="A246" s="13" t="s">
        <v>569</v>
      </c>
      <c r="B246" s="13">
        <f>'Balance Sheet US$'!B39+'Balance Sheet US$'!B40</f>
        <v>1381.8749999999998</v>
      </c>
      <c r="C246" s="13">
        <f>'Balance Sheet US$'!C39+'Balance Sheet US$'!C40</f>
        <v>1521.0552</v>
      </c>
      <c r="D246" s="13">
        <f>'Balance Sheet US$'!D39+'Balance Sheet US$'!D40</f>
        <v>1603.7969999999998</v>
      </c>
      <c r="E246" s="13">
        <f>'Balance Sheet US$'!E39+'Balance Sheet US$'!E40</f>
        <v>1586.6741099999999</v>
      </c>
      <c r="F246" s="13">
        <f>'Balance Sheet US$'!F39+'Balance Sheet US$'!F40</f>
        <v>1547.6838</v>
      </c>
      <c r="G246" s="13">
        <f>'Balance Sheet US$'!G39+'Balance Sheet US$'!G40</f>
        <v>1312.8686999999998</v>
      </c>
      <c r="H246" s="13">
        <f>'Balance Sheet US$'!H39+'Balance Sheet US$'!H40</f>
        <v>1544.1340782122904</v>
      </c>
      <c r="I246" s="13">
        <f>'Balance Sheet US$'!I39+'Balance Sheet US$'!I40</f>
        <v>1931.4294805504735</v>
      </c>
      <c r="J246" s="13">
        <f>'Balance Sheet US$'!J39+'Balance Sheet US$'!J40</f>
        <v>1995.886285168589</v>
      </c>
      <c r="K246" s="13">
        <f>'Balance Sheet US$'!K39+'Balance Sheet US$'!K40</f>
        <v>3157.0438799076214</v>
      </c>
      <c r="L246" s="13">
        <f>'Balance Sheet US$'!M39+'Balance Sheet US$'!M40</f>
        <v>2253.1461761858664</v>
      </c>
      <c r="M246" s="13">
        <f>'Balance Sheet US$'!M39+'Balance Sheet US$'!M40</f>
        <v>2253.1461761858664</v>
      </c>
    </row>
    <row r="247" spans="1:13" x14ac:dyDescent="0.3">
      <c r="A247" s="13" t="s">
        <v>570</v>
      </c>
      <c r="B247" s="13">
        <f>'Balance Sheet US$'!B37+'Balance Sheet US$'!B41+'Balance Sheet US$'!B42</f>
        <v>0</v>
      </c>
      <c r="C247" s="13">
        <f>'Balance Sheet US$'!C37+'Balance Sheet US$'!C41+'Balance Sheet US$'!C42</f>
        <v>0</v>
      </c>
      <c r="D247" s="13">
        <f>'Balance Sheet US$'!D37+'Balance Sheet US$'!D41+'Balance Sheet US$'!D42</f>
        <v>0</v>
      </c>
      <c r="E247" s="13">
        <f>'Balance Sheet US$'!E37+'Balance Sheet US$'!E41+'Balance Sheet US$'!E42</f>
        <v>0</v>
      </c>
      <c r="F247" s="13">
        <f>'Balance Sheet US$'!F37+'Balance Sheet US$'!F41+'Balance Sheet US$'!F42</f>
        <v>0</v>
      </c>
      <c r="G247" s="13">
        <f>'Balance Sheet US$'!G37+'Balance Sheet US$'!G41+'Balance Sheet US$'!G42</f>
        <v>0</v>
      </c>
      <c r="H247" s="13">
        <f>'Balance Sheet US$'!H37+'Balance Sheet US$'!H41+'Balance Sheet US$'!H42</f>
        <v>0</v>
      </c>
      <c r="I247" s="13">
        <f>'Balance Sheet US$'!I37+'Balance Sheet US$'!I41+'Balance Sheet US$'!I42</f>
        <v>0</v>
      </c>
      <c r="J247" s="13">
        <f>'Balance Sheet US$'!J37+'Balance Sheet US$'!J41+'Balance Sheet US$'!J42</f>
        <v>0</v>
      </c>
      <c r="K247" s="13">
        <f>'Balance Sheet US$'!K37+'Balance Sheet US$'!K41+'Balance Sheet US$'!K42</f>
        <v>0</v>
      </c>
      <c r="L247" s="13">
        <f>'Balance Sheet US$'!M37+'Balance Sheet US$'!M41+'Balance Sheet US$'!M42</f>
        <v>0</v>
      </c>
      <c r="M247" s="13">
        <f>'Balance Sheet US$'!M37+'Balance Sheet US$'!M41+'Balance Sheet US$'!M42</f>
        <v>0</v>
      </c>
    </row>
    <row r="248" spans="1:13" x14ac:dyDescent="0.3">
      <c r="A248" s="13" t="s">
        <v>571</v>
      </c>
      <c r="B248" s="13">
        <f>'Balance Sheet US$'!B35+'Balance Sheet US$'!B36</f>
        <v>507.52499999999992</v>
      </c>
      <c r="C248" s="13">
        <f>'Balance Sheet US$'!C35+'Balance Sheet US$'!C36</f>
        <v>415.01119999999997</v>
      </c>
      <c r="D248" s="13">
        <f>'Balance Sheet US$'!D35+'Balance Sheet US$'!D36</f>
        <v>507.51799999999992</v>
      </c>
      <c r="E248" s="13">
        <f>'Balance Sheet US$'!E35+'Balance Sheet US$'!E36</f>
        <v>351.75821999999999</v>
      </c>
      <c r="F248" s="13">
        <f>'Balance Sheet US$'!F35+'Balance Sheet US$'!F36</f>
        <v>417.54680000000002</v>
      </c>
      <c r="G248" s="13">
        <f>'Balance Sheet US$'!G35+'Balance Sheet US$'!G36</f>
        <v>378.40659999999997</v>
      </c>
      <c r="H248" s="13">
        <f>'Balance Sheet US$'!H35+'Balance Sheet US$'!H36</f>
        <v>526.6294227188082</v>
      </c>
      <c r="I248" s="13">
        <f>'Balance Sheet US$'!I35+'Balance Sheet US$'!I36</f>
        <v>533.76819664306743</v>
      </c>
      <c r="J248" s="13">
        <f>'Balance Sheet US$'!J35+'Balance Sheet US$'!J36</f>
        <v>769.85234702122966</v>
      </c>
      <c r="K248" s="13">
        <f>'Balance Sheet US$'!K35+'Balance Sheet US$'!K36</f>
        <v>937.64434180138574</v>
      </c>
      <c r="L248" s="13">
        <f>'Balance Sheet US$'!M35+'Balance Sheet US$'!M36</f>
        <v>818.81252016779604</v>
      </c>
      <c r="M248" s="13">
        <f>'Balance Sheet US$'!M35+'Balance Sheet US$'!M36</f>
        <v>818.81252016779604</v>
      </c>
    </row>
    <row r="249" spans="1:13" x14ac:dyDescent="0.3">
      <c r="A249" s="11" t="s">
        <v>572</v>
      </c>
      <c r="B249" s="11">
        <f>SUM(B245:B248)</f>
        <v>3077.31</v>
      </c>
      <c r="C249" s="11">
        <f t="shared" ref="C249:M249" si="291">SUM(C245:C248)</f>
        <v>3086.1563999999998</v>
      </c>
      <c r="D249" s="11">
        <f t="shared" si="291"/>
        <v>3275.7979999999998</v>
      </c>
      <c r="E249" s="11">
        <f t="shared" si="291"/>
        <v>3000.2907</v>
      </c>
      <c r="F249" s="11">
        <f t="shared" si="291"/>
        <v>3051.3699000000001</v>
      </c>
      <c r="G249" s="11">
        <f t="shared" si="291"/>
        <v>2765.1123499999994</v>
      </c>
      <c r="H249" s="11">
        <f t="shared" si="291"/>
        <v>3295.3445065176911</v>
      </c>
      <c r="I249" s="11">
        <f t="shared" si="291"/>
        <v>4025.1372205870657</v>
      </c>
      <c r="J249" s="11">
        <f t="shared" si="291"/>
        <v>4169.5438184088734</v>
      </c>
      <c r="K249" s="11">
        <f t="shared" ref="K249:L249" si="292">SUM(K245:K248)</f>
        <v>5985.3733641262515</v>
      </c>
      <c r="L249" s="11">
        <f t="shared" si="292"/>
        <v>4960.4711197160368</v>
      </c>
      <c r="M249" s="11">
        <f t="shared" si="291"/>
        <v>4960.4711197160368</v>
      </c>
    </row>
    <row r="251" spans="1:13" x14ac:dyDescent="0.3">
      <c r="A251" s="13" t="s">
        <v>573</v>
      </c>
      <c r="B251" s="13">
        <f>'Balance Sheet US$'!B49</f>
        <v>3971.7599999999993</v>
      </c>
      <c r="C251" s="13">
        <f>'Balance Sheet US$'!C49</f>
        <v>3823.1927999999998</v>
      </c>
      <c r="D251" s="13">
        <f>'Balance Sheet US$'!D49</f>
        <v>3459.3469999999993</v>
      </c>
      <c r="E251" s="13">
        <f>'Balance Sheet US$'!E49</f>
        <v>3723.55827</v>
      </c>
      <c r="F251" s="13">
        <f>'Balance Sheet US$'!F49</f>
        <v>4082.2964000000002</v>
      </c>
      <c r="G251" s="13">
        <f>'Balance Sheet US$'!G49</f>
        <v>4239.0204999999996</v>
      </c>
      <c r="H251" s="13">
        <f>'Balance Sheet US$'!H49</f>
        <v>4402.9795158286779</v>
      </c>
      <c r="I251" s="13">
        <f>'Balance Sheet US$'!I49</f>
        <v>4333.7841062763509</v>
      </c>
      <c r="J251" s="13">
        <f>'Balance Sheet US$'!J49</f>
        <v>6518.0342319841329</v>
      </c>
      <c r="K251" s="13">
        <f>'Balance Sheet US$'!K49</f>
        <v>6177.0592763664354</v>
      </c>
      <c r="L251" s="13">
        <f>'Balance Sheet US$'!M49</f>
        <v>12638.754436915133</v>
      </c>
      <c r="M251" s="13">
        <f>'Balance Sheet US$'!M49</f>
        <v>12638.754436915133</v>
      </c>
    </row>
    <row r="252" spans="1:13" x14ac:dyDescent="0.3">
      <c r="A252" s="13" t="s">
        <v>574</v>
      </c>
      <c r="B252" s="13">
        <f>SUM('Balance Sheet US$'!B50:B56)</f>
        <v>1629.1049999999998</v>
      </c>
      <c r="C252" s="13">
        <f>SUM('Balance Sheet US$'!C50:C56)</f>
        <v>6440.5039999999999</v>
      </c>
      <c r="D252" s="13">
        <f>SUM('Balance Sheet US$'!D50:D56)</f>
        <v>5704.0609999999988</v>
      </c>
      <c r="E252" s="13">
        <f>SUM('Balance Sheet US$'!E50:E56)</f>
        <v>3496.8905399999999</v>
      </c>
      <c r="F252" s="13">
        <f>SUM('Balance Sheet US$'!F50:F56)</f>
        <v>3029.8023999999996</v>
      </c>
      <c r="G252" s="13">
        <f>SUM('Balance Sheet US$'!G50:G56)</f>
        <v>2446.6441999999997</v>
      </c>
      <c r="H252" s="13">
        <f>SUM('Balance Sheet US$'!H50:H56)</f>
        <v>2651.7690875232774</v>
      </c>
      <c r="I252" s="13">
        <f>SUM('Balance Sheet US$'!I50:I56)</f>
        <v>3031.5806220666618</v>
      </c>
      <c r="J252" s="13">
        <f>SUM('Balance Sheet US$'!J50:J56)</f>
        <v>2980.2394769705429</v>
      </c>
      <c r="K252" s="13">
        <f>SUM('Balance Sheet US$'!K50:K56)</f>
        <v>5819.8614318706695</v>
      </c>
      <c r="L252" s="13">
        <f>SUM('Balance Sheet US$'!M50:M56)</f>
        <v>6727.1700548564049</v>
      </c>
      <c r="M252" s="13">
        <f>SUM('Balance Sheet US$'!M50:M56)</f>
        <v>6727.1700548564049</v>
      </c>
    </row>
    <row r="253" spans="1:13" x14ac:dyDescent="0.3">
      <c r="A253" s="11" t="s">
        <v>384</v>
      </c>
      <c r="B253" s="11">
        <f>B251+B252</f>
        <v>5600.8649999999989</v>
      </c>
      <c r="C253" s="11">
        <f t="shared" ref="C253:M253" si="293">C251+C252</f>
        <v>10263.6968</v>
      </c>
      <c r="D253" s="11">
        <f t="shared" si="293"/>
        <v>9163.4079999999976</v>
      </c>
      <c r="E253" s="11">
        <f t="shared" si="293"/>
        <v>7220.4488099999999</v>
      </c>
      <c r="F253" s="11">
        <f t="shared" si="293"/>
        <v>7112.0987999999998</v>
      </c>
      <c r="G253" s="11">
        <f t="shared" si="293"/>
        <v>6685.6646999999994</v>
      </c>
      <c r="H253" s="11">
        <f t="shared" si="293"/>
        <v>7054.7486033519554</v>
      </c>
      <c r="I253" s="11">
        <f t="shared" si="293"/>
        <v>7365.3647283430128</v>
      </c>
      <c r="J253" s="11">
        <f t="shared" si="293"/>
        <v>9498.2737089546754</v>
      </c>
      <c r="K253" s="11">
        <f t="shared" ref="K253:L253" si="294">K251+K252</f>
        <v>11996.920708237105</v>
      </c>
      <c r="L253" s="11">
        <f t="shared" si="294"/>
        <v>19365.924491771537</v>
      </c>
      <c r="M253" s="11">
        <f t="shared" si="293"/>
        <v>19365.924491771537</v>
      </c>
    </row>
    <row r="254" spans="1:13" x14ac:dyDescent="0.3">
      <c r="A254" s="11" t="s">
        <v>255</v>
      </c>
      <c r="B254" s="11">
        <f>B237+B243-B249-B253</f>
        <v>1918.5449999999992</v>
      </c>
      <c r="C254" s="11">
        <f t="shared" ref="C254:M254" si="295">C237+C243-C249-C253</f>
        <v>-3921.0727999999999</v>
      </c>
      <c r="D254" s="11">
        <f t="shared" si="295"/>
        <v>-3352.0259999999989</v>
      </c>
      <c r="E254" s="11">
        <f t="shared" si="295"/>
        <v>-1313.9204099999988</v>
      </c>
      <c r="F254" s="11">
        <f t="shared" si="295"/>
        <v>-977.4390999999996</v>
      </c>
      <c r="G254" s="11">
        <f t="shared" si="295"/>
        <v>28.886000000000422</v>
      </c>
      <c r="H254" s="11">
        <f t="shared" si="295"/>
        <v>908.00744878957175</v>
      </c>
      <c r="I254" s="11">
        <f t="shared" si="295"/>
        <v>2687.9325431548841</v>
      </c>
      <c r="J254" s="11">
        <f t="shared" si="295"/>
        <v>2407.2577683097043</v>
      </c>
      <c r="K254" s="11">
        <f t="shared" ref="K254:L254" si="296">K237+K243-K249-K253</f>
        <v>3387.2209391839915</v>
      </c>
      <c r="L254" s="11">
        <f t="shared" si="296"/>
        <v>116.97321716683291</v>
      </c>
      <c r="M254" s="11">
        <f t="shared" si="295"/>
        <v>116.97321716683291</v>
      </c>
    </row>
    <row r="256" spans="1:13" x14ac:dyDescent="0.3">
      <c r="A256" s="13" t="s">
        <v>575</v>
      </c>
      <c r="B256" s="13">
        <f>'Balance Sheet US$'!B59+'Balance Sheet US$'!B60+'Balance Sheet US$'!B62</f>
        <v>2371.7999999999997</v>
      </c>
      <c r="C256" s="13">
        <f>'Balance Sheet US$'!C59+'Balance Sheet US$'!C60+'Balance Sheet US$'!C62</f>
        <v>878.9624</v>
      </c>
      <c r="D256" s="13">
        <f>'Balance Sheet US$'!D59+'Balance Sheet US$'!D60+'Balance Sheet US$'!D62</f>
        <v>877.62499999999989</v>
      </c>
      <c r="E256" s="13">
        <f>'Balance Sheet US$'!E59+'Balance Sheet US$'!E60+'Balance Sheet US$'!E62</f>
        <v>853.06070999999997</v>
      </c>
      <c r="F256" s="13">
        <f>'Balance Sheet US$'!F59+'Balance Sheet US$'!F60+'Balance Sheet US$'!F62</f>
        <v>786.78240000000005</v>
      </c>
      <c r="G256" s="13">
        <f>'Balance Sheet US$'!G59+'Balance Sheet US$'!G60+'Balance Sheet US$'!G62</f>
        <v>650.65715</v>
      </c>
      <c r="H256" s="13">
        <f>'Balance Sheet US$'!H59+'Balance Sheet US$'!H60+'Balance Sheet US$'!H62</f>
        <v>655.49348230912472</v>
      </c>
      <c r="I256" s="13">
        <f>'Balance Sheet US$'!I59+'Balance Sheet US$'!I60+'Balance Sheet US$'!I62</f>
        <v>690.4780844801528</v>
      </c>
      <c r="J256" s="13">
        <f>'Balance Sheet US$'!J59+'Balance Sheet US$'!J60+'Balance Sheet US$'!J62</f>
        <v>641.29875853963119</v>
      </c>
      <c r="K256" s="13">
        <f>'Balance Sheet US$'!K59+'Balance Sheet US$'!K60+'Balance Sheet US$'!K62</f>
        <v>668.20631254811394</v>
      </c>
      <c r="L256" s="13">
        <f>'Balance Sheet US$'!M59+'Balance Sheet US$'!M60+'Balance Sheet US$'!M62</f>
        <v>2287.83478541465</v>
      </c>
      <c r="M256" s="13">
        <f>'Balance Sheet US$'!M59+'Balance Sheet US$'!M60+'Balance Sheet US$'!M62</f>
        <v>2287.83478541465</v>
      </c>
    </row>
    <row r="257" spans="1:13" x14ac:dyDescent="0.3">
      <c r="A257" s="13" t="s">
        <v>576</v>
      </c>
      <c r="B257" s="13">
        <f>'Balance Sheet US$'!B63</f>
        <v>-623.09999999999991</v>
      </c>
      <c r="C257" s="13">
        <f>'Balance Sheet US$'!C63</f>
        <v>-4877.3603999999996</v>
      </c>
      <c r="D257" s="13">
        <f>'Balance Sheet US$'!D63</f>
        <v>-4293.8429999999998</v>
      </c>
      <c r="E257" s="13">
        <f>'Balance Sheet US$'!E63</f>
        <v>-2226.2345099999998</v>
      </c>
      <c r="F257" s="13">
        <f>'Balance Sheet US$'!F63</f>
        <v>-1822.8851</v>
      </c>
      <c r="G257" s="13">
        <f>'Balance Sheet US$'!G63</f>
        <v>-633.32554999999991</v>
      </c>
      <c r="H257" s="13">
        <f>'Balance Sheet US$'!H63</f>
        <v>250.27932960893855</v>
      </c>
      <c r="I257" s="13">
        <f>'Balance Sheet US$'!I63</f>
        <v>1997.4544586747277</v>
      </c>
      <c r="J257" s="13">
        <f>'Balance Sheet US$'!J63</f>
        <v>1765.9590097700727</v>
      </c>
      <c r="K257" s="13">
        <f>'Balance Sheet US$'!K63</f>
        <v>2699.7690531177832</v>
      </c>
      <c r="L257" s="13">
        <f>'Balance Sheet US$'!M63</f>
        <v>-2140.2065182316874</v>
      </c>
      <c r="M257" s="13">
        <f>'Balance Sheet US$'!M63</f>
        <v>-2140.2065182316874</v>
      </c>
    </row>
    <row r="258" spans="1:13" x14ac:dyDescent="0.3">
      <c r="A258" s="13" t="s">
        <v>577</v>
      </c>
      <c r="B258" s="13">
        <f>'Balance Sheet US$'!B61+'Balance Sheet US$'!B64+'Balance Sheet US$'!B65</f>
        <v>169.84499999999997</v>
      </c>
      <c r="C258" s="13">
        <f>'Balance Sheet US$'!C61+'Balance Sheet US$'!C64+'Balance Sheet US$'!C65</f>
        <v>77.325199999999995</v>
      </c>
      <c r="D258" s="13">
        <f>'Balance Sheet US$'!D61+'Balance Sheet US$'!D64+'Balance Sheet US$'!D65</f>
        <v>64.191999999999993</v>
      </c>
      <c r="E258" s="13">
        <f>'Balance Sheet US$'!E61+'Balance Sheet US$'!E64+'Balance Sheet US$'!E65</f>
        <v>59.253389999999996</v>
      </c>
      <c r="F258" s="13">
        <f>'Balance Sheet US$'!F61+'Balance Sheet US$'!F64+'Balance Sheet US$'!F65</f>
        <v>58.663600000000002</v>
      </c>
      <c r="G258" s="13">
        <f>'Balance Sheet US$'!G61+'Balance Sheet US$'!G64+'Balance Sheet US$'!G65</f>
        <v>11.554400000000001</v>
      </c>
      <c r="H258" s="13">
        <f>'Balance Sheet US$'!H61+'Balance Sheet US$'!H64+'Balance Sheet US$'!H65</f>
        <v>2.2346368715083798</v>
      </c>
      <c r="I258" s="13">
        <f>'Balance Sheet US$'!I61+'Balance Sheet US$'!I64+'Balance Sheet US$'!I65</f>
        <v>0</v>
      </c>
      <c r="J258" s="13">
        <f>'Balance Sheet US$'!J61+'Balance Sheet US$'!J64+'Balance Sheet US$'!J65</f>
        <v>0</v>
      </c>
      <c r="K258" s="13">
        <f>'Balance Sheet US$'!K61+'Balance Sheet US$'!K64+'Balance Sheet US$'!K65</f>
        <v>19.24557351809084</v>
      </c>
      <c r="L258" s="13">
        <f>'Balance Sheet US$'!M61+'Balance Sheet US$'!M64+'Balance Sheet US$'!M65</f>
        <v>-30.655050016134236</v>
      </c>
      <c r="M258" s="13">
        <f>'Balance Sheet US$'!M61+'Balance Sheet US$'!M64+'Balance Sheet US$'!M65</f>
        <v>-30.655050016134236</v>
      </c>
    </row>
    <row r="259" spans="1:13" x14ac:dyDescent="0.3">
      <c r="A259" s="11" t="s">
        <v>578</v>
      </c>
      <c r="B259" s="11">
        <f>SUM(B256:B258)</f>
        <v>1918.5449999999998</v>
      </c>
      <c r="C259" s="11">
        <f t="shared" ref="C259:M259" si="297">SUM(C256:C258)</f>
        <v>-3921.0727999999999</v>
      </c>
      <c r="D259" s="11">
        <f t="shared" si="297"/>
        <v>-3352.0259999999998</v>
      </c>
      <c r="E259" s="11">
        <f t="shared" si="297"/>
        <v>-1313.9204099999997</v>
      </c>
      <c r="F259" s="11">
        <f t="shared" si="297"/>
        <v>-977.43909999999994</v>
      </c>
      <c r="G259" s="11">
        <f t="shared" si="297"/>
        <v>28.886000000000095</v>
      </c>
      <c r="H259" s="11">
        <f t="shared" si="297"/>
        <v>908.00744878957175</v>
      </c>
      <c r="I259" s="11">
        <f t="shared" si="297"/>
        <v>2687.9325431548805</v>
      </c>
      <c r="J259" s="11">
        <f t="shared" si="297"/>
        <v>2407.2577683097038</v>
      </c>
      <c r="K259" s="11">
        <f t="shared" ref="K259:L259" si="298">SUM(K256:K258)</f>
        <v>3387.2209391839879</v>
      </c>
      <c r="L259" s="11">
        <f t="shared" si="298"/>
        <v>116.97321716682841</v>
      </c>
      <c r="M259" s="11">
        <f t="shared" si="297"/>
        <v>116.97321716682841</v>
      </c>
    </row>
  </sheetData>
  <mergeCells count="1">
    <mergeCell ref="A1:M1"/>
  </mergeCells>
  <pageMargins left="0.70866141732283472" right="0.70866141732283472" top="0.74803149606299213" bottom="0.74803149606299213" header="0.31496062992125984" footer="0.31496062992125984"/>
  <pageSetup paperSize="9" scale="63" fitToWidth="2" pageOrder="overThenDown" orientation="portrait" r:id="rId1"/>
  <headerFooter alignWithMargins="0"/>
  <ignoredErrors>
    <ignoredError sqref="C22:H22 C52:C58 C60 C16:J16 M52:M60 M66:M68 M82 M110 B110:J110 B82:J82 C66:J68 D52:J60"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A1:AE91"/>
  <sheetViews>
    <sheetView zoomScale="85" zoomScaleNormal="85" workbookViewId="0">
      <pane xSplit="1" ySplit="7" topLeftCell="O11" activePane="bottomRight" state="frozen"/>
      <selection pane="topRight" activeCell="B1" sqref="B1"/>
      <selection pane="bottomLeft" activeCell="A8" sqref="A8"/>
      <selection pane="bottomRight" activeCell="AD16" sqref="AD16"/>
    </sheetView>
  </sheetViews>
  <sheetFormatPr defaultColWidth="8.88671875" defaultRowHeight="14.4" x14ac:dyDescent="0.3"/>
  <cols>
    <col min="1" max="1" width="41.88671875" style="13" bestFit="1" customWidth="1"/>
    <col min="2" max="4" width="11.109375" style="13" bestFit="1" customWidth="1"/>
    <col min="5" max="5" width="10.44140625" style="13" bestFit="1" customWidth="1"/>
    <col min="6" max="6" width="15.33203125" style="13" bestFit="1" customWidth="1"/>
    <col min="7" max="7" width="12.6640625" style="13" customWidth="1"/>
    <col min="8" max="8" width="13" style="13" customWidth="1"/>
    <col min="9" max="9" width="12.109375" style="13" customWidth="1"/>
    <col min="10" max="10" width="11.88671875" style="13" customWidth="1"/>
    <col min="11" max="13" width="12.6640625" style="13" customWidth="1"/>
    <col min="14" max="14" width="12.109375" style="13" customWidth="1"/>
    <col min="15" max="15" width="11.88671875" style="13" customWidth="1"/>
    <col min="16" max="23" width="12.6640625" style="13" customWidth="1"/>
    <col min="24" max="24" width="10.5546875" style="13" customWidth="1"/>
    <col min="25" max="25" width="10.44140625" style="13" customWidth="1"/>
    <col min="26" max="26" width="9.6640625" style="13" bestFit="1" customWidth="1"/>
    <col min="27" max="27" width="9.109375" style="13" bestFit="1" customWidth="1"/>
    <col min="28" max="28" width="9.44140625" style="13" bestFit="1" customWidth="1"/>
    <col min="29" max="16384" width="8.88671875" style="13"/>
  </cols>
  <sheetData>
    <row r="1" spans="1:31" ht="28.8" x14ac:dyDescent="0.55000000000000004">
      <c r="A1" s="349" t="str">
        <f>IF(Inputs!$E$14 = "Semi-annual",(Inputs!E9 &amp;"- Semi-Annual Operational Data"),(Inputs!E9 &amp;"- Qtrly Operational Data"))</f>
        <v>Air Canada- Qtrly Operational Data</v>
      </c>
      <c r="B1" s="349"/>
      <c r="C1" s="349"/>
      <c r="D1" s="349"/>
      <c r="E1" s="349"/>
      <c r="F1" s="349"/>
      <c r="G1" s="349"/>
      <c r="H1" s="349"/>
      <c r="I1" s="349"/>
      <c r="J1" s="349"/>
      <c r="K1" s="349"/>
      <c r="L1" s="349"/>
      <c r="M1" s="349"/>
      <c r="N1" s="349"/>
      <c r="O1" s="349"/>
      <c r="P1" s="349"/>
      <c r="Q1" s="349"/>
      <c r="R1" s="349"/>
      <c r="S1" s="69"/>
      <c r="T1" s="69"/>
      <c r="U1" s="69"/>
      <c r="V1" s="69"/>
      <c r="W1" s="69"/>
      <c r="X1" s="69"/>
      <c r="Y1" s="69"/>
    </row>
    <row r="2" spans="1:31" x14ac:dyDescent="0.3">
      <c r="A2" s="3"/>
      <c r="B2" s="3" t="str">
        <f>IF(Inputs!$E$14="Semi-annual","H1","Q1")</f>
        <v>Q1</v>
      </c>
      <c r="C2" s="3" t="str">
        <f>IF(B2 = "H1", "H2", IF(B2 = "H2", "H1", IF(B2= "Q1", "Q2", IF(B2= "Q2", "Q3", IF(B2= "Q3", "Q4", "Q1")))))</f>
        <v>Q2</v>
      </c>
      <c r="D2" s="3" t="str">
        <f t="shared" ref="D2:M2" si="0">IF(C2 = "H1", "H2", IF(C2 = "H2", "H1", IF(C2= "Q1", "Q2", IF(C2= "Q2", "Q3", IF(C2= "Q3", "Q4", "Q1")))))</f>
        <v>Q3</v>
      </c>
      <c r="E2" s="206" t="str">
        <f t="shared" si="0"/>
        <v>Q4</v>
      </c>
      <c r="F2" s="3" t="str">
        <f t="shared" si="0"/>
        <v>Q1</v>
      </c>
      <c r="G2" s="3" t="str">
        <f t="shared" si="0"/>
        <v>Q2</v>
      </c>
      <c r="H2" s="3" t="str">
        <f t="shared" si="0"/>
        <v>Q3</v>
      </c>
      <c r="I2" s="206" t="str">
        <f t="shared" si="0"/>
        <v>Q4</v>
      </c>
      <c r="J2" s="3" t="str">
        <f t="shared" si="0"/>
        <v>Q1</v>
      </c>
      <c r="K2" s="3" t="str">
        <f t="shared" si="0"/>
        <v>Q2</v>
      </c>
      <c r="L2" s="3" t="str">
        <f t="shared" si="0"/>
        <v>Q3</v>
      </c>
      <c r="M2" s="206" t="str">
        <f t="shared" si="0"/>
        <v>Q4</v>
      </c>
      <c r="N2" s="3" t="str">
        <f t="shared" ref="N2" si="1">IF(M2 = "H1", "H2", IF(M2 = "H2", "H1", IF(M2= "Q1", "Q2", IF(M2= "Q2", "Q3", IF(M2= "Q3", "Q4", "Q1")))))</f>
        <v>Q1</v>
      </c>
      <c r="O2" s="3" t="str">
        <f t="shared" ref="O2" si="2">IF(N2 = "H1", "H2", IF(N2 = "H2", "H1", IF(N2= "Q1", "Q2", IF(N2= "Q2", "Q3", IF(N2= "Q3", "Q4", "Q1")))))</f>
        <v>Q2</v>
      </c>
      <c r="P2" s="3" t="str">
        <f t="shared" ref="P2" si="3">IF(O2 = "H1", "H2", IF(O2 = "H2", "H1", IF(O2= "Q1", "Q2", IF(O2= "Q2", "Q3", IF(O2= "Q3", "Q4", "Q1")))))</f>
        <v>Q3</v>
      </c>
      <c r="Q2" s="206" t="str">
        <f t="shared" ref="Q2" si="4">IF(P2 = "H1", "H2", IF(P2 = "H2", "H1", IF(P2= "Q1", "Q2", IF(P2= "Q2", "Q3", IF(P2= "Q3", "Q4", "Q1")))))</f>
        <v>Q4</v>
      </c>
      <c r="R2" s="3" t="str">
        <f t="shared" ref="R2" si="5">IF(Q2 = "H1", "H2", IF(Q2 = "H2", "H1", IF(Q2= "Q1", "Q2", IF(Q2= "Q2", "Q3", IF(Q2= "Q3", "Q4", "Q1")))))</f>
        <v>Q1</v>
      </c>
      <c r="S2" s="3" t="str">
        <f t="shared" ref="S2" si="6">IF(R2 = "H1", "H2", IF(R2 = "H2", "H1", IF(R2= "Q1", "Q2", IF(R2= "Q2", "Q3", IF(R2= "Q3", "Q4", "Q1")))))</f>
        <v>Q2</v>
      </c>
      <c r="T2" s="3" t="str">
        <f t="shared" ref="T2" si="7">IF(S2 = "H1", "H2", IF(S2 = "H2", "H1", IF(S2= "Q1", "Q2", IF(S2= "Q2", "Q3", IF(S2= "Q3", "Q4", "Q1")))))</f>
        <v>Q3</v>
      </c>
      <c r="U2" s="206" t="str">
        <f t="shared" ref="U2" si="8">IF(T2 = "H1", "H2", IF(T2 = "H2", "H1", IF(T2= "Q1", "Q2", IF(T2= "Q2", "Q3", IF(T2= "Q3", "Q4", "Q1")))))</f>
        <v>Q4</v>
      </c>
      <c r="V2" s="3" t="str">
        <f t="shared" ref="V2" si="9">IF(U2 = "H1", "H2", IF(U2 = "H2", "H1", IF(U2= "Q1", "Q2", IF(U2= "Q2", "Q3", IF(U2= "Q3", "Q4", "Q1")))))</f>
        <v>Q1</v>
      </c>
      <c r="W2" s="3" t="str">
        <f t="shared" ref="W2" si="10">IF(V2 = "H1", "H2", IF(V2 = "H2", "H1", IF(V2= "Q1", "Q2", IF(V2= "Q2", "Q3", IF(V2= "Q3", "Q4", "Q1")))))</f>
        <v>Q2</v>
      </c>
      <c r="X2" s="3" t="str">
        <f t="shared" ref="X2" si="11">IF(W2 = "H1", "H2", IF(W2 = "H2", "H1", IF(W2= "Q1", "Q2", IF(W2= "Q2", "Q3", IF(W2= "Q3", "Q4", "Q1")))))</f>
        <v>Q3</v>
      </c>
      <c r="Y2" s="3" t="str">
        <f t="shared" ref="Y2:AB2" si="12">IF(X2 = "H1", "H2", IF(X2 = "H2", "H1", IF(X2= "Q1", "Q2", IF(X2= "Q2", "Q3", IF(X2= "Q3", "Q4", "Q1")))))</f>
        <v>Q4</v>
      </c>
      <c r="Z2" s="3" t="str">
        <f t="shared" si="12"/>
        <v>Q1</v>
      </c>
      <c r="AA2" s="3" t="str">
        <f t="shared" si="12"/>
        <v>Q2</v>
      </c>
      <c r="AB2" s="3" t="str">
        <f t="shared" si="12"/>
        <v>Q3</v>
      </c>
      <c r="AC2" s="16"/>
      <c r="AD2" s="16"/>
      <c r="AE2" s="16"/>
    </row>
    <row r="3" spans="1:31" x14ac:dyDescent="0.3">
      <c r="A3" s="310">
        <f>B3-90</f>
        <v>42004</v>
      </c>
      <c r="B3" s="7">
        <f>DATE(Inputs!$E$17,Inputs!$E$15,Inputs!$E$16)</f>
        <v>42094</v>
      </c>
      <c r="C3" s="7">
        <f>IF(Inputs!$E$14="Semi-annual", EOMONTH(B3,6),EOMONTH(B3,3))</f>
        <v>42185</v>
      </c>
      <c r="D3" s="7">
        <f>IF(Inputs!$E$14="Semi-annual", EOMONTH(C3,6),EOMONTH(C3,3))</f>
        <v>42277</v>
      </c>
      <c r="E3" s="300">
        <f>IF(Inputs!$E$14="Semi-annual", EOMONTH(D3,6),EOMONTH(D3,3))</f>
        <v>42369</v>
      </c>
      <c r="F3" s="7">
        <f>IF(Inputs!$E$14="Semi-annual", EOMONTH(E3,6),EOMONTH(E3,3))</f>
        <v>42460</v>
      </c>
      <c r="G3" s="7">
        <f>IF(Inputs!$E$14="Semi-annual", EOMONTH(F3,6),EOMONTH(F3,3))</f>
        <v>42551</v>
      </c>
      <c r="H3" s="7">
        <f>IF(Inputs!$E$14="Semi-annual", EOMONTH(G3,6),EOMONTH(G3,3))</f>
        <v>42643</v>
      </c>
      <c r="I3" s="300">
        <f>IF(Inputs!$E$14="Semi-annual", EOMONTH(H3,6),EOMONTH(H3,3))</f>
        <v>42735</v>
      </c>
      <c r="J3" s="7">
        <f>IF(Inputs!$E$14="Semi-annual", EOMONTH(I3,6),EOMONTH(I3,3))</f>
        <v>42825</v>
      </c>
      <c r="K3" s="7">
        <f>IF(Inputs!$E$14="Semi-annual", EOMONTH(J3,6),EOMONTH(J3,3))</f>
        <v>42916</v>
      </c>
      <c r="L3" s="7">
        <f>IF(Inputs!$E$14="Semi-annual", EOMONTH(K3,6),EOMONTH(K3,3))</f>
        <v>43008</v>
      </c>
      <c r="M3" s="300">
        <f>IF(Inputs!$E$14="Semi-annual", EOMONTH(L3,6),EOMONTH(L3,3))</f>
        <v>43100</v>
      </c>
      <c r="N3" s="7">
        <f>IF(Inputs!$E$14="Semi-annual", EOMONTH(M3,6),EOMONTH(M3,3))</f>
        <v>43190</v>
      </c>
      <c r="O3" s="7">
        <f>IF(Inputs!$E$14="Semi-annual", EOMONTH(N3,6),EOMONTH(N3,3))</f>
        <v>43281</v>
      </c>
      <c r="P3" s="7">
        <f>IF(Inputs!$E$14="Semi-annual", EOMONTH(O3,6),EOMONTH(O3,3))</f>
        <v>43373</v>
      </c>
      <c r="Q3" s="300">
        <f>IF(Inputs!$E$14="Semi-annual", EOMONTH(P3,6),EOMONTH(P3,3))</f>
        <v>43465</v>
      </c>
      <c r="R3" s="7">
        <f>IF(Inputs!$E$14="Semi-annual", EOMONTH(Q3,6),EOMONTH(Q3,3))</f>
        <v>43555</v>
      </c>
      <c r="S3" s="7">
        <f>IF(Inputs!$E$14="Semi-annual", EOMONTH(R3,6),EOMONTH(R3,3))</f>
        <v>43646</v>
      </c>
      <c r="T3" s="7">
        <f>IF(Inputs!$E$14="Semi-annual", EOMONTH(S3,6),EOMONTH(S3,3))</f>
        <v>43738</v>
      </c>
      <c r="U3" s="300">
        <f>IF(Inputs!$E$14="Semi-annual", EOMONTH(T3,6),EOMONTH(T3,3))</f>
        <v>43830</v>
      </c>
      <c r="V3" s="7">
        <f>IF(Inputs!$E$14="Semi-annual", EOMONTH(U3,6),EOMONTH(U3,3))</f>
        <v>43921</v>
      </c>
      <c r="W3" s="7">
        <f>IF(Inputs!$E$14="Semi-annual", EOMONTH(V3,6),EOMONTH(V3,3))</f>
        <v>44012</v>
      </c>
      <c r="X3" s="7">
        <f>IF(Inputs!$E$14="Semi-annual", EOMONTH(W3,6),EOMONTH(W3,3))</f>
        <v>44104</v>
      </c>
      <c r="Y3" s="7">
        <f>IF(Inputs!$E$14="Semi-annual", EOMONTH(X3,6),EOMONTH(X3,3))</f>
        <v>44196</v>
      </c>
      <c r="Z3" s="7">
        <f>IF(Inputs!$E$14="Semi-annual", EOMONTH(Y3,6),EOMONTH(Y3,3))</f>
        <v>44286</v>
      </c>
      <c r="AA3" s="7">
        <f>IF(Inputs!$E$14="Semi-annual", EOMONTH(Z3,6),EOMONTH(Z3,3))</f>
        <v>44377</v>
      </c>
      <c r="AB3" s="7">
        <f>IF(Inputs!$E$14="Semi-annual", EOMONTH(AA3,6),EOMONTH(AA3,3))</f>
        <v>44469</v>
      </c>
      <c r="AC3" s="16"/>
      <c r="AD3" s="16"/>
      <c r="AE3" s="16"/>
    </row>
    <row r="4" spans="1:31" x14ac:dyDescent="0.3">
      <c r="A4" s="3"/>
      <c r="B4" s="3" t="s">
        <v>1</v>
      </c>
      <c r="C4" s="3" t="s">
        <v>1</v>
      </c>
      <c r="D4" s="3" t="s">
        <v>1</v>
      </c>
      <c r="E4" s="206" t="s">
        <v>1</v>
      </c>
      <c r="F4" s="3" t="s">
        <v>1</v>
      </c>
      <c r="G4" s="3" t="s">
        <v>1</v>
      </c>
      <c r="H4" s="3" t="s">
        <v>1</v>
      </c>
      <c r="I4" s="206" t="s">
        <v>1</v>
      </c>
      <c r="J4" s="3" t="s">
        <v>1</v>
      </c>
      <c r="K4" s="3" t="s">
        <v>1</v>
      </c>
      <c r="L4" s="3" t="s">
        <v>1</v>
      </c>
      <c r="M4" s="206" t="s">
        <v>1</v>
      </c>
      <c r="N4" s="3" t="s">
        <v>1</v>
      </c>
      <c r="O4" s="3" t="s">
        <v>1</v>
      </c>
      <c r="P4" s="3" t="s">
        <v>1</v>
      </c>
      <c r="Q4" s="206" t="s">
        <v>1</v>
      </c>
      <c r="R4" s="3" t="s">
        <v>1</v>
      </c>
      <c r="S4" s="3" t="s">
        <v>1</v>
      </c>
      <c r="T4" s="3" t="s">
        <v>1</v>
      </c>
      <c r="U4" s="206" t="s">
        <v>1</v>
      </c>
      <c r="V4" s="3" t="s">
        <v>1</v>
      </c>
      <c r="W4" s="3" t="s">
        <v>1</v>
      </c>
      <c r="X4" s="3" t="s">
        <v>1</v>
      </c>
      <c r="Y4" s="3" t="s">
        <v>1</v>
      </c>
      <c r="Z4" s="3" t="s">
        <v>1</v>
      </c>
      <c r="AA4" s="3" t="s">
        <v>1</v>
      </c>
      <c r="AB4" s="3" t="s">
        <v>1</v>
      </c>
      <c r="AC4" s="16"/>
      <c r="AD4" s="16"/>
      <c r="AE4" s="16"/>
    </row>
    <row r="5" spans="1:31" x14ac:dyDescent="0.3">
      <c r="A5" s="3"/>
      <c r="B5" s="3"/>
      <c r="C5" s="3"/>
      <c r="D5" s="3"/>
      <c r="E5" s="206"/>
      <c r="F5" s="3"/>
      <c r="G5" s="3"/>
      <c r="H5" s="3"/>
      <c r="I5" s="206"/>
      <c r="J5" s="3"/>
      <c r="K5" s="3"/>
      <c r="L5" s="3"/>
      <c r="M5" s="206"/>
      <c r="N5" s="3"/>
      <c r="O5" s="3"/>
      <c r="P5" s="3"/>
      <c r="Q5" s="206"/>
      <c r="R5" s="3"/>
      <c r="S5" s="3"/>
      <c r="T5" s="3"/>
      <c r="U5" s="206"/>
      <c r="V5" s="3"/>
      <c r="W5" s="3"/>
      <c r="X5" s="3"/>
      <c r="Y5" s="3"/>
      <c r="Z5" s="3"/>
      <c r="AA5" s="3"/>
      <c r="AB5" s="3"/>
      <c r="AC5" s="16"/>
      <c r="AD5" s="16"/>
      <c r="AE5" s="16"/>
    </row>
    <row r="6" spans="1:31" x14ac:dyDescent="0.3">
      <c r="A6" s="3"/>
      <c r="B6" s="3"/>
      <c r="C6" s="3"/>
      <c r="D6" s="3"/>
      <c r="E6" s="206"/>
      <c r="F6" s="3"/>
      <c r="G6" s="3"/>
      <c r="H6" s="3"/>
      <c r="I6" s="206"/>
      <c r="J6" s="3"/>
      <c r="K6" s="3"/>
      <c r="L6" s="3"/>
      <c r="M6" s="206"/>
      <c r="N6" s="3"/>
      <c r="O6" s="3"/>
      <c r="P6" s="3"/>
      <c r="Q6" s="206"/>
      <c r="R6" s="3"/>
      <c r="S6" s="3"/>
      <c r="T6" s="3"/>
      <c r="U6" s="206"/>
      <c r="V6" s="3"/>
      <c r="W6" s="3"/>
      <c r="X6" s="3"/>
      <c r="Y6" s="3"/>
      <c r="Z6" s="3"/>
      <c r="AA6" s="3"/>
      <c r="AB6" s="3"/>
      <c r="AC6" s="16"/>
      <c r="AD6" s="16"/>
      <c r="AE6" s="16"/>
    </row>
    <row r="7" spans="1:31" x14ac:dyDescent="0.3">
      <c r="A7" s="3"/>
      <c r="B7" s="15"/>
      <c r="C7" s="15"/>
      <c r="D7" s="15"/>
      <c r="E7" s="207"/>
      <c r="F7" s="15"/>
      <c r="G7" s="15"/>
      <c r="H7" s="15"/>
      <c r="I7" s="207"/>
      <c r="J7" s="15"/>
      <c r="K7" s="15"/>
      <c r="L7" s="15"/>
      <c r="M7" s="207"/>
      <c r="N7" s="15"/>
      <c r="O7" s="15"/>
      <c r="P7" s="15"/>
      <c r="Q7" s="207"/>
      <c r="R7" s="15"/>
      <c r="S7" s="15"/>
      <c r="T7" s="15"/>
      <c r="U7" s="207"/>
      <c r="V7" s="15"/>
      <c r="W7" s="15"/>
      <c r="X7" s="15"/>
      <c r="Y7" s="15"/>
      <c r="Z7" s="15"/>
      <c r="AA7" s="15"/>
      <c r="AB7" s="15"/>
      <c r="AC7" s="16"/>
      <c r="AD7" s="16"/>
      <c r="AE7" s="16"/>
    </row>
    <row r="8" spans="1:31" x14ac:dyDescent="0.3">
      <c r="A8" s="8" t="s">
        <v>226</v>
      </c>
      <c r="B8" s="10"/>
      <c r="C8" s="10"/>
      <c r="D8" s="10"/>
      <c r="E8" s="208"/>
      <c r="F8" s="10"/>
      <c r="G8" s="10"/>
      <c r="H8" s="10"/>
      <c r="I8" s="208"/>
      <c r="J8" s="10"/>
      <c r="K8" s="10"/>
      <c r="L8" s="10"/>
      <c r="M8" s="208"/>
      <c r="N8" s="10"/>
      <c r="O8" s="10"/>
      <c r="P8" s="10"/>
      <c r="Q8" s="208"/>
      <c r="R8" s="10"/>
      <c r="S8" s="10"/>
      <c r="T8" s="10"/>
      <c r="U8" s="208"/>
      <c r="V8" s="10"/>
      <c r="W8" s="10"/>
      <c r="X8" s="10"/>
      <c r="Y8" s="10"/>
      <c r="Z8" s="10"/>
      <c r="AA8" s="10"/>
      <c r="AB8" s="10"/>
    </row>
    <row r="9" spans="1:31" x14ac:dyDescent="0.3">
      <c r="A9" s="85" t="s">
        <v>481</v>
      </c>
      <c r="B9" s="33"/>
      <c r="C9" s="234"/>
      <c r="D9" s="34"/>
      <c r="E9" s="209"/>
      <c r="F9" s="33"/>
      <c r="G9" s="33"/>
      <c r="H9" s="33"/>
      <c r="I9" s="211"/>
      <c r="J9" s="33"/>
      <c r="K9" s="33"/>
      <c r="L9" s="33"/>
      <c r="M9" s="211"/>
      <c r="N9" s="33"/>
      <c r="O9" s="33"/>
      <c r="P9" s="33"/>
      <c r="Q9" s="211"/>
      <c r="R9" s="33"/>
      <c r="S9" s="33"/>
      <c r="T9" s="33"/>
      <c r="U9" s="211"/>
      <c r="V9" s="33"/>
      <c r="W9" s="33"/>
      <c r="X9" s="33"/>
      <c r="Y9" s="33"/>
      <c r="Z9" s="33"/>
      <c r="AA9" s="33"/>
      <c r="AB9" s="33"/>
    </row>
    <row r="10" spans="1:31" x14ac:dyDescent="0.3">
      <c r="A10" s="85" t="s">
        <v>482</v>
      </c>
      <c r="B10" s="35"/>
      <c r="C10" s="34"/>
      <c r="D10" s="34"/>
      <c r="E10" s="210"/>
      <c r="F10" s="34"/>
      <c r="G10" s="34"/>
      <c r="H10" s="34"/>
      <c r="I10" s="209"/>
      <c r="J10" s="34"/>
      <c r="K10" s="34"/>
      <c r="L10" s="34"/>
      <c r="M10" s="209"/>
      <c r="N10" s="34"/>
      <c r="O10" s="34"/>
      <c r="P10" s="34"/>
      <c r="Q10" s="209"/>
      <c r="R10" s="34"/>
      <c r="S10" s="34"/>
      <c r="T10" s="34"/>
      <c r="U10" s="209"/>
      <c r="V10" s="34"/>
      <c r="W10" s="34"/>
      <c r="X10" s="34"/>
      <c r="Y10" s="34"/>
      <c r="Z10" s="34"/>
      <c r="AA10" s="34"/>
      <c r="AB10" s="34"/>
    </row>
    <row r="11" spans="1:31" x14ac:dyDescent="0.3">
      <c r="A11" s="85" t="s">
        <v>227</v>
      </c>
      <c r="B11" s="35"/>
      <c r="C11" s="34"/>
      <c r="D11" s="34"/>
      <c r="E11" s="210"/>
      <c r="F11" s="34"/>
      <c r="G11" s="34"/>
      <c r="H11" s="34"/>
      <c r="I11" s="209"/>
      <c r="J11" s="34"/>
      <c r="K11" s="34"/>
      <c r="L11" s="34"/>
      <c r="M11" s="209"/>
      <c r="N11" s="34"/>
      <c r="O11" s="34"/>
      <c r="P11" s="34"/>
      <c r="Q11" s="209"/>
      <c r="R11" s="34"/>
      <c r="S11" s="34"/>
      <c r="T11" s="34"/>
      <c r="U11" s="209"/>
      <c r="V11" s="34"/>
      <c r="W11" s="34"/>
      <c r="X11" s="34"/>
      <c r="Y11" s="34"/>
      <c r="Z11" s="34"/>
      <c r="AA11" s="34"/>
      <c r="AB11" s="34"/>
    </row>
    <row r="12" spans="1:31" x14ac:dyDescent="0.3">
      <c r="A12" s="85" t="s">
        <v>619</v>
      </c>
      <c r="B12" s="35"/>
      <c r="C12" s="33"/>
      <c r="D12" s="33"/>
      <c r="E12" s="211"/>
      <c r="F12" s="33"/>
      <c r="G12" s="33"/>
      <c r="H12" s="33"/>
      <c r="I12" s="211"/>
      <c r="J12" s="33"/>
      <c r="K12" s="33"/>
      <c r="L12" s="33">
        <v>155700</v>
      </c>
      <c r="M12" s="211">
        <v>138400</v>
      </c>
      <c r="N12" s="33">
        <v>136500</v>
      </c>
      <c r="O12" s="33">
        <v>145200</v>
      </c>
      <c r="P12" s="33">
        <v>159500</v>
      </c>
      <c r="Q12" s="211">
        <v>137700</v>
      </c>
      <c r="R12" s="33">
        <v>133500</v>
      </c>
      <c r="S12" s="33">
        <v>136600</v>
      </c>
      <c r="T12" s="33">
        <v>148100</v>
      </c>
      <c r="U12" s="211">
        <v>130300</v>
      </c>
      <c r="V12" s="34"/>
      <c r="W12" s="34"/>
      <c r="X12" s="34"/>
      <c r="Y12" s="34">
        <v>31100</v>
      </c>
      <c r="Z12" s="34"/>
      <c r="AA12" s="34"/>
      <c r="AB12" s="34"/>
    </row>
    <row r="13" spans="1:31" s="52" customFormat="1" x14ac:dyDescent="0.3">
      <c r="A13" s="85" t="s">
        <v>428</v>
      </c>
      <c r="B13" s="72">
        <f>B12/(B3-A3)</f>
        <v>0</v>
      </c>
      <c r="C13" s="72">
        <f t="shared" ref="C13:W13" si="13">C12/(C3-B3)</f>
        <v>0</v>
      </c>
      <c r="D13" s="72">
        <f t="shared" si="13"/>
        <v>0</v>
      </c>
      <c r="E13" s="215">
        <f t="shared" si="13"/>
        <v>0</v>
      </c>
      <c r="F13" s="72">
        <f t="shared" si="13"/>
        <v>0</v>
      </c>
      <c r="G13" s="72">
        <f t="shared" si="13"/>
        <v>0</v>
      </c>
      <c r="H13" s="72">
        <f t="shared" si="13"/>
        <v>0</v>
      </c>
      <c r="I13" s="215">
        <f t="shared" si="13"/>
        <v>0</v>
      </c>
      <c r="J13" s="72">
        <f t="shared" si="13"/>
        <v>0</v>
      </c>
      <c r="K13" s="72">
        <f t="shared" si="13"/>
        <v>0</v>
      </c>
      <c r="L13" s="72">
        <f t="shared" si="13"/>
        <v>1692.391304347826</v>
      </c>
      <c r="M13" s="215">
        <f t="shared" si="13"/>
        <v>1504.3478260869565</v>
      </c>
      <c r="N13" s="72">
        <f t="shared" si="13"/>
        <v>1516.6666666666667</v>
      </c>
      <c r="O13" s="72">
        <f t="shared" si="13"/>
        <v>1595.6043956043957</v>
      </c>
      <c r="P13" s="72">
        <f t="shared" si="13"/>
        <v>1733.695652173913</v>
      </c>
      <c r="Q13" s="215">
        <f t="shared" si="13"/>
        <v>1496.7391304347825</v>
      </c>
      <c r="R13" s="72">
        <f t="shared" si="13"/>
        <v>1483.3333333333333</v>
      </c>
      <c r="S13" s="72">
        <f t="shared" si="13"/>
        <v>1501.098901098901</v>
      </c>
      <c r="T13" s="72">
        <f t="shared" si="13"/>
        <v>1609.7826086956522</v>
      </c>
      <c r="U13" s="215">
        <f t="shared" si="13"/>
        <v>1416.304347826087</v>
      </c>
      <c r="V13" s="72">
        <f t="shared" si="13"/>
        <v>0</v>
      </c>
      <c r="W13" s="72">
        <f t="shared" si="13"/>
        <v>0</v>
      </c>
      <c r="X13" s="72">
        <f t="shared" ref="X13" si="14">X12/(X3-W3)</f>
        <v>0</v>
      </c>
      <c r="Y13" s="72">
        <f t="shared" ref="Y13:AB13" si="15">Y12/(Y3-X3)</f>
        <v>338.04347826086956</v>
      </c>
      <c r="Z13" s="72">
        <f t="shared" si="15"/>
        <v>0</v>
      </c>
      <c r="AA13" s="72">
        <f t="shared" si="15"/>
        <v>0</v>
      </c>
      <c r="AB13" s="72">
        <f t="shared" si="15"/>
        <v>0</v>
      </c>
    </row>
    <row r="14" spans="1:31" x14ac:dyDescent="0.3">
      <c r="A14" s="85" t="s">
        <v>228</v>
      </c>
      <c r="B14" s="35">
        <v>24500</v>
      </c>
      <c r="C14" s="33">
        <v>24800</v>
      </c>
      <c r="D14" s="33">
        <v>25000</v>
      </c>
      <c r="E14" s="211">
        <v>25100</v>
      </c>
      <c r="F14" s="33">
        <v>25400</v>
      </c>
      <c r="G14" s="33">
        <v>26100</v>
      </c>
      <c r="H14" s="33">
        <v>26500</v>
      </c>
      <c r="I14" s="211">
        <v>26200</v>
      </c>
      <c r="J14" s="33">
        <v>26900</v>
      </c>
      <c r="K14" s="33">
        <v>27800</v>
      </c>
      <c r="L14" s="33">
        <v>28300</v>
      </c>
      <c r="M14" s="211">
        <v>28300</v>
      </c>
      <c r="N14" s="33">
        <v>28900</v>
      </c>
      <c r="O14" s="33">
        <v>30000</v>
      </c>
      <c r="P14" s="33">
        <v>30200</v>
      </c>
      <c r="Q14" s="211">
        <v>30500</v>
      </c>
      <c r="R14" s="33">
        <v>32100</v>
      </c>
      <c r="S14" s="33">
        <v>33100</v>
      </c>
      <c r="T14" s="33">
        <v>33200</v>
      </c>
      <c r="U14" s="211">
        <v>33300</v>
      </c>
      <c r="V14" s="34">
        <v>33000</v>
      </c>
      <c r="W14" s="34">
        <v>16400</v>
      </c>
      <c r="X14" s="34">
        <v>17200</v>
      </c>
      <c r="Y14" s="34">
        <v>17900</v>
      </c>
      <c r="Z14" s="34"/>
      <c r="AA14" s="34">
        <v>16500</v>
      </c>
      <c r="AB14" s="34">
        <v>21300</v>
      </c>
    </row>
    <row r="15" spans="1:31" x14ac:dyDescent="0.3">
      <c r="A15" s="85" t="s">
        <v>0</v>
      </c>
      <c r="B15" s="2"/>
      <c r="C15" s="2" t="str">
        <f ca="1">IFERROR(IF(Inputs!$E$14 = "Semi-annual",('Interim Operational Data'!#REF!/OFFSET(#REF!,0,-2,,))-1,('Interim Operational Data'!#REF!/OFFSET('Interim Operational Data'!#REF!,0,-4,,))-1),"")</f>
        <v/>
      </c>
      <c r="D15" s="2" t="str">
        <f ca="1">IFERROR(IF(Inputs!$E$14 = "Semi-annual",('Interim Operational Data'!#REF!/OFFSET(#REF!,0,-2,,))-1,('Interim Operational Data'!#REF!/OFFSET('Interim Operational Data'!#REF!,0,-4,,))-1),"")</f>
        <v/>
      </c>
      <c r="E15" s="301" t="str">
        <f ca="1">IFERROR(IF(Inputs!$E$14 = "Semi-annual",('Interim Operational Data'!#REF!/OFFSET(#REF!,0,-2,,))-1,('Interim Operational Data'!#REF!/OFFSET('Interim Operational Data'!#REF!,0,-4,,))-1),"")</f>
        <v/>
      </c>
      <c r="F15" s="2" t="str">
        <f ca="1">IFERROR(IF(Inputs!$E$14 = "Semi-annual",('Interim Operational Data'!#REF!/OFFSET(#REF!,0,-2,,))-1,('Interim Operational Data'!#REF!/OFFSET('Interim Operational Data'!#REF!,0,-4,,))-1),"")</f>
        <v/>
      </c>
      <c r="G15" s="2" t="str">
        <f ca="1">IFERROR(IF(Inputs!$E$14 = "Semi-annual",('Interim Operational Data'!#REF!/OFFSET(#REF!,0,-2,,))-1,('Interim Operational Data'!#REF!/OFFSET('Interim Operational Data'!#REF!,0,-4,,))-1),"")</f>
        <v/>
      </c>
      <c r="H15" s="2" t="str">
        <f ca="1">IFERROR(IF(Inputs!$E$14 = "Semi-annual",('Interim Operational Data'!#REF!/OFFSET(#REF!,0,-2,,))-1,('Interim Operational Data'!#REF!/OFFSET('Interim Operational Data'!#REF!,0,-4,,))-1),"")</f>
        <v/>
      </c>
      <c r="I15" s="301" t="str">
        <f ca="1">IFERROR(IF(Inputs!$E$14 = "Semi-annual",('Interim Operational Data'!#REF!/OFFSET(#REF!,0,-2,,))-1,('Interim Operational Data'!#REF!/OFFSET('Interim Operational Data'!#REF!,0,-4,,))-1),"")</f>
        <v/>
      </c>
      <c r="J15" s="2" t="str">
        <f ca="1">IFERROR(IF(Inputs!$E$14 = "Semi-annual",('Interim Operational Data'!#REF!/OFFSET(#REF!,0,-2,,))-1,('Interim Operational Data'!#REF!/OFFSET('Interim Operational Data'!#REF!,0,-4,,))-1),"")</f>
        <v/>
      </c>
      <c r="K15" s="2" t="str">
        <f ca="1">IFERROR(IF(Inputs!$E$14 = "Semi-annual",('Interim Operational Data'!#REF!/OFFSET(#REF!,0,-2,,))-1,('Interim Operational Data'!#REF!/OFFSET('Interim Operational Data'!#REF!,0,-4,,))-1),"")</f>
        <v/>
      </c>
      <c r="L15" s="2" t="str">
        <f ca="1">IFERROR(IF(Inputs!$E$14 = "Semi-annual",('Interim Operational Data'!#REF!/OFFSET(#REF!,0,-2,,))-1,('Interim Operational Data'!#REF!/OFFSET('Interim Operational Data'!#REF!,0,-4,,))-1),"")</f>
        <v/>
      </c>
      <c r="M15" s="301" t="str">
        <f ca="1">IFERROR(IF(Inputs!$E$14 = "Semi-annual",('Interim Operational Data'!#REF!/OFFSET(#REF!,0,-2,,))-1,('Interim Operational Data'!#REF!/OFFSET('Interim Operational Data'!#REF!,0,-4,,))-1),"")</f>
        <v/>
      </c>
      <c r="N15" s="2" t="str">
        <f ca="1">IFERROR(IF(Inputs!$E$14 = "Semi-annual",('Interim Operational Data'!#REF!/OFFSET(#REF!,0,-2,,))-1,('Interim Operational Data'!#REF!/OFFSET('Interim Operational Data'!#REF!,0,-4,,))-1),"")</f>
        <v/>
      </c>
      <c r="O15" s="2" t="str">
        <f ca="1">IFERROR(IF(Inputs!$E$14 = "Semi-annual",('Interim Operational Data'!#REF!/OFFSET(#REF!,0,-2,,))-1,('Interim Operational Data'!#REF!/OFFSET('Interim Operational Data'!#REF!,0,-4,,))-1),"")</f>
        <v/>
      </c>
      <c r="P15" s="2" t="str">
        <f ca="1">IFERROR(IF(Inputs!$E$14 = "Semi-annual",('Interim Operational Data'!#REF!/OFFSET(#REF!,0,-2,,))-1,('Interim Operational Data'!#REF!/OFFSET('Interim Operational Data'!#REF!,0,-4,,))-1),"")</f>
        <v/>
      </c>
      <c r="Q15" s="301" t="str">
        <f ca="1">IFERROR(IF(Inputs!$E$14 = "Semi-annual",('Interim Operational Data'!#REF!/OFFSET(#REF!,0,-2,,))-1,('Interim Operational Data'!#REF!/OFFSET('Interim Operational Data'!#REF!,0,-4,,))-1),"")</f>
        <v/>
      </c>
      <c r="R15" s="2" t="str">
        <f ca="1">IFERROR(IF(Inputs!$E$14 = "Semi-annual",('Interim Operational Data'!#REF!/OFFSET(#REF!,0,-2,,))-1,('Interim Operational Data'!#REF!/OFFSET('Interim Operational Data'!#REF!,0,-4,,))-1),"")</f>
        <v/>
      </c>
      <c r="S15" s="2" t="str">
        <f ca="1">IFERROR(IF(Inputs!$E$14 = "Semi-annual",('Interim Operational Data'!#REF!/OFFSET(#REF!,0,-2,,))-1,('Interim Operational Data'!#REF!/OFFSET('Interim Operational Data'!#REF!,0,-4,,))-1),"")</f>
        <v/>
      </c>
      <c r="T15" s="2" t="str">
        <f ca="1">IFERROR(IF(Inputs!$E$14 = "Semi-annual",('Interim Operational Data'!#REF!/OFFSET(#REF!,0,-2,,))-1,('Interim Operational Data'!#REF!/OFFSET('Interim Operational Data'!#REF!,0,-4,,))-1),"")</f>
        <v/>
      </c>
      <c r="U15" s="301" t="str">
        <f ca="1">IFERROR(IF(Inputs!$E$14 = "Semi-annual",('Interim Operational Data'!#REF!/OFFSET(#REF!,0,-2,,))-1,('Interim Operational Data'!#REF!/OFFSET('Interim Operational Data'!#REF!,0,-4,,))-1),"")</f>
        <v/>
      </c>
      <c r="V15" s="2" t="str">
        <f ca="1">IFERROR(IF(Inputs!$E$14 = "Semi-annual",('Interim Operational Data'!#REF!/OFFSET(#REF!,0,-2,,))-1,('Interim Operational Data'!#REF!/OFFSET('Interim Operational Data'!#REF!,0,-4,,))-1),"")</f>
        <v/>
      </c>
      <c r="W15" s="2" t="str">
        <f ca="1">IFERROR(IF(Inputs!$E$14 = "Semi-annual",('Interim Operational Data'!#REF!/OFFSET(#REF!,0,-2,,))-1,('Interim Operational Data'!#REF!/OFFSET('Interim Operational Data'!#REF!,0,-4,,))-1),"")</f>
        <v/>
      </c>
      <c r="X15" s="2" t="str">
        <f ca="1">IFERROR(IF(Inputs!$E$14 = "Semi-annual",('Interim Operational Data'!#REF!/OFFSET(#REF!,0,-2,,))-1,('Interim Operational Data'!#REF!/OFFSET('Interim Operational Data'!#REF!,0,-4,,))-1),"")</f>
        <v/>
      </c>
      <c r="Y15" s="2" t="str">
        <f ca="1">IFERROR(IF(Inputs!$E$14 = "Semi-annual",('Interim Operational Data'!#REF!/OFFSET(#REF!,0,-2,,))-1,('Interim Operational Data'!#REF!/OFFSET('Interim Operational Data'!#REF!,0,-4,,))-1),"")</f>
        <v/>
      </c>
      <c r="Z15" s="2" t="str">
        <f ca="1">IFERROR(IF(Inputs!$E$14 = "Semi-annual",('Interim Operational Data'!#REF!/OFFSET(#REF!,0,-2,,))-1,('Interim Operational Data'!#REF!/OFFSET('Interim Operational Data'!#REF!,0,-4,,))-1),"")</f>
        <v/>
      </c>
      <c r="AA15" s="2" t="str">
        <f ca="1">IFERROR(IF(Inputs!$E$14 = "Semi-annual",('Interim Operational Data'!#REF!/OFFSET(#REF!,0,-2,,))-1,('Interim Operational Data'!#REF!/OFFSET('Interim Operational Data'!#REF!,0,-4,,))-1),"")</f>
        <v/>
      </c>
      <c r="AB15" s="2" t="str">
        <f ca="1">IFERROR(IF(Inputs!$E$14 = "Semi-annual",('Interim Operational Data'!#REF!/OFFSET(#REF!,0,-2,,))-1,('Interim Operational Data'!#REF!/OFFSET('Interim Operational Data'!#REF!,0,-4,,))-1),"")</f>
        <v/>
      </c>
    </row>
    <row r="16" spans="1:31" s="52" customFormat="1" x14ac:dyDescent="0.3">
      <c r="A16" s="85" t="s">
        <v>229</v>
      </c>
      <c r="B16" s="53"/>
      <c r="C16" s="53">
        <f>IFERROR(AVERAGE(B14:C14),"")</f>
        <v>24650</v>
      </c>
      <c r="D16" s="53">
        <f t="shared" ref="D16:W16" si="16">IFERROR(AVERAGE(C14:D14),"")</f>
        <v>24900</v>
      </c>
      <c r="E16" s="311">
        <f t="shared" si="16"/>
        <v>25050</v>
      </c>
      <c r="F16" s="53">
        <f t="shared" si="16"/>
        <v>25250</v>
      </c>
      <c r="G16" s="53">
        <f t="shared" si="16"/>
        <v>25750</v>
      </c>
      <c r="H16" s="53">
        <f t="shared" si="16"/>
        <v>26300</v>
      </c>
      <c r="I16" s="311">
        <f t="shared" si="16"/>
        <v>26350</v>
      </c>
      <c r="J16" s="53">
        <f t="shared" si="16"/>
        <v>26550</v>
      </c>
      <c r="K16" s="53">
        <f t="shared" si="16"/>
        <v>27350</v>
      </c>
      <c r="L16" s="53">
        <f t="shared" si="16"/>
        <v>28050</v>
      </c>
      <c r="M16" s="311">
        <f t="shared" si="16"/>
        <v>28300</v>
      </c>
      <c r="N16" s="53">
        <f t="shared" si="16"/>
        <v>28600</v>
      </c>
      <c r="O16" s="53">
        <f t="shared" si="16"/>
        <v>29450</v>
      </c>
      <c r="P16" s="53">
        <f t="shared" si="16"/>
        <v>30100</v>
      </c>
      <c r="Q16" s="311">
        <f t="shared" si="16"/>
        <v>30350</v>
      </c>
      <c r="R16" s="53">
        <f t="shared" si="16"/>
        <v>31300</v>
      </c>
      <c r="S16" s="53">
        <f t="shared" si="16"/>
        <v>32600</v>
      </c>
      <c r="T16" s="53">
        <f t="shared" si="16"/>
        <v>33150</v>
      </c>
      <c r="U16" s="311">
        <f t="shared" si="16"/>
        <v>33250</v>
      </c>
      <c r="V16" s="53">
        <f t="shared" si="16"/>
        <v>33150</v>
      </c>
      <c r="W16" s="53">
        <f t="shared" si="16"/>
        <v>24700</v>
      </c>
      <c r="X16" s="53">
        <f t="shared" ref="X16" si="17">IFERROR(AVERAGE(W14:X14),"")</f>
        <v>16800</v>
      </c>
      <c r="Y16" s="53">
        <f t="shared" ref="Y16:AB16" si="18">IFERROR(AVERAGE(X14:Y14),"")</f>
        <v>17550</v>
      </c>
      <c r="Z16" s="53">
        <f t="shared" si="18"/>
        <v>17900</v>
      </c>
      <c r="AA16" s="53">
        <f t="shared" si="18"/>
        <v>16500</v>
      </c>
      <c r="AB16" s="53">
        <f t="shared" si="18"/>
        <v>18900</v>
      </c>
    </row>
    <row r="17" spans="1:30" x14ac:dyDescent="0.3">
      <c r="A17" s="85" t="s">
        <v>0</v>
      </c>
      <c r="B17" s="2"/>
      <c r="C17" s="2" t="str">
        <f ca="1">IFERROR(IF(Inputs!$E$14 = "Semi-annual",('Interim Operational Data'!C16/OFFSET(C16,0,-2,,))-1,('Interim Operational Data'!C16/OFFSET('Interim Operational Data'!C16,0,-4,,))-1),"")</f>
        <v/>
      </c>
      <c r="D17" s="2" t="str">
        <f ca="1">IFERROR(IF(Inputs!$E$14 = "Semi-annual",('Interim Operational Data'!D16/OFFSET(D16,0,-2,,))-1,('Interim Operational Data'!D16/OFFSET('Interim Operational Data'!D16,0,-4,,))-1),"")</f>
        <v/>
      </c>
      <c r="E17" s="301" t="str">
        <f ca="1">IFERROR(IF(Inputs!$E$14 = "Semi-annual",('Interim Operational Data'!E16/OFFSET(E16,0,-2,,))-1,('Interim Operational Data'!E16/OFFSET('Interim Operational Data'!E16,0,-4,,))-1),"")</f>
        <v/>
      </c>
      <c r="F17" s="2" t="str">
        <f ca="1">IFERROR(IF(Inputs!$E$14 = "Semi-annual",('Interim Operational Data'!F16/OFFSET(F16,0,-2,,))-1,('Interim Operational Data'!F16/OFFSET('Interim Operational Data'!F16,0,-4,,))-1),"")</f>
        <v/>
      </c>
      <c r="G17" s="2">
        <f ca="1">IFERROR(IF(Inputs!$E$14 = "Semi-annual",('Interim Operational Data'!G16/OFFSET(G16,0,-2,,))-1,('Interim Operational Data'!G16/OFFSET('Interim Operational Data'!G16,0,-4,,))-1),"")</f>
        <v>4.4624746450304231E-2</v>
      </c>
      <c r="H17" s="2">
        <f ca="1">IFERROR(IF(Inputs!$E$14 = "Semi-annual",('Interim Operational Data'!H16/OFFSET(H16,0,-2,,))-1,('Interim Operational Data'!H16/OFFSET('Interim Operational Data'!H16,0,-4,,))-1),"")</f>
        <v>5.6224899598393607E-2</v>
      </c>
      <c r="I17" s="301">
        <f ca="1">IFERROR(IF(Inputs!$E$14 = "Semi-annual",('Interim Operational Data'!I16/OFFSET(I16,0,-2,,))-1,('Interim Operational Data'!I16/OFFSET('Interim Operational Data'!I16,0,-4,,))-1),"")</f>
        <v>5.1896207584830378E-2</v>
      </c>
      <c r="J17" s="2">
        <f ca="1">IFERROR(IF(Inputs!$E$14 = "Semi-annual",('Interim Operational Data'!J16/OFFSET(J16,0,-2,,))-1,('Interim Operational Data'!J16/OFFSET('Interim Operational Data'!J16,0,-4,,))-1),"")</f>
        <v>5.1485148514851531E-2</v>
      </c>
      <c r="K17" s="2">
        <f ca="1">IFERROR(IF(Inputs!$E$14 = "Semi-annual",('Interim Operational Data'!K16/OFFSET(K16,0,-2,,))-1,('Interim Operational Data'!K16/OFFSET('Interim Operational Data'!K16,0,-4,,))-1),"")</f>
        <v>6.2135922330097015E-2</v>
      </c>
      <c r="L17" s="2">
        <f ca="1">IFERROR(IF(Inputs!$E$14 = "Semi-annual",('Interim Operational Data'!L16/OFFSET(L16,0,-2,,))-1,('Interim Operational Data'!L16/OFFSET('Interim Operational Data'!L16,0,-4,,))-1),"")</f>
        <v>6.6539923954372693E-2</v>
      </c>
      <c r="M17" s="301">
        <f ca="1">IFERROR(IF(Inputs!$E$14 = "Semi-annual",('Interim Operational Data'!M16/OFFSET(M16,0,-2,,))-1,('Interim Operational Data'!M16/OFFSET('Interim Operational Data'!M16,0,-4,,))-1),"")</f>
        <v>7.4003795066413636E-2</v>
      </c>
      <c r="N17" s="2">
        <f ca="1">IFERROR(IF(Inputs!$E$14 = "Semi-annual",('Interim Operational Data'!N16/OFFSET(N16,0,-2,,))-1,('Interim Operational Data'!N16/OFFSET('Interim Operational Data'!N16,0,-4,,))-1),"")</f>
        <v>7.7212806026365266E-2</v>
      </c>
      <c r="O17" s="2">
        <f ca="1">IFERROR(IF(Inputs!$E$14 = "Semi-annual",('Interim Operational Data'!O16/OFFSET(O16,0,-2,,))-1,('Interim Operational Data'!O16/OFFSET('Interim Operational Data'!O16,0,-4,,))-1),"")</f>
        <v>7.6782449725776969E-2</v>
      </c>
      <c r="P17" s="2">
        <f ca="1">IFERROR(IF(Inputs!$E$14 = "Semi-annual",('Interim Operational Data'!P16/OFFSET(P16,0,-2,,))-1,('Interim Operational Data'!P16/OFFSET('Interim Operational Data'!P16,0,-4,,))-1),"")</f>
        <v>7.3083778966131829E-2</v>
      </c>
      <c r="Q17" s="301">
        <f ca="1">IFERROR(IF(Inputs!$E$14 = "Semi-annual",('Interim Operational Data'!Q16/OFFSET(Q16,0,-2,,))-1,('Interim Operational Data'!Q16/OFFSET('Interim Operational Data'!Q16,0,-4,,))-1),"")</f>
        <v>7.2438162544169682E-2</v>
      </c>
      <c r="R17" s="2">
        <f ca="1">IFERROR(IF(Inputs!$E$14 = "Semi-annual",('Interim Operational Data'!R16/OFFSET(R16,0,-2,,))-1,('Interim Operational Data'!R16/OFFSET('Interim Operational Data'!R16,0,-4,,))-1),"")</f>
        <v>9.4405594405594373E-2</v>
      </c>
      <c r="S17" s="2">
        <f ca="1">IFERROR(IF(Inputs!$E$14 = "Semi-annual",('Interim Operational Data'!S16/OFFSET(S16,0,-2,,))-1,('Interim Operational Data'!S16/OFFSET('Interim Operational Data'!S16,0,-4,,))-1),"")</f>
        <v>0.1069609507640068</v>
      </c>
      <c r="T17" s="2">
        <f ca="1">IFERROR(IF(Inputs!$E$14 = "Semi-annual",('Interim Operational Data'!T16/OFFSET(T16,0,-2,,))-1,('Interim Operational Data'!T16/OFFSET('Interim Operational Data'!T16,0,-4,,))-1),"")</f>
        <v>0.1013289036544851</v>
      </c>
      <c r="U17" s="301">
        <f ca="1">IFERROR(IF(Inputs!$E$14 = "Semi-annual",('Interim Operational Data'!U16/OFFSET(U16,0,-2,,))-1,('Interim Operational Data'!U16/OFFSET('Interim Operational Data'!U16,0,-4,,))-1),"")</f>
        <v>9.5551894563426609E-2</v>
      </c>
      <c r="V17" s="2">
        <f ca="1">IFERROR(IF(Inputs!$E$14 = "Semi-annual",('Interim Operational Data'!V16/OFFSET(V16,0,-2,,))-1,('Interim Operational Data'!V16/OFFSET('Interim Operational Data'!V16,0,-4,,))-1),"")</f>
        <v>5.9105431309904199E-2</v>
      </c>
      <c r="W17" s="2">
        <f ca="1">IFERROR(IF(Inputs!$E$14 = "Semi-annual",('Interim Operational Data'!W16/OFFSET(W16,0,-2,,))-1,('Interim Operational Data'!W16/OFFSET('Interim Operational Data'!W16,0,-4,,))-1),"")</f>
        <v>-0.24233128834355833</v>
      </c>
      <c r="X17" s="2">
        <f ca="1">IFERROR(IF(Inputs!$E$14 = "Semi-annual",('Interim Operational Data'!X16/OFFSET(X16,0,-2,,))-1,('Interim Operational Data'!X16/OFFSET('Interim Operational Data'!X16,0,-4,,))-1),"")</f>
        <v>-0.49321266968325794</v>
      </c>
      <c r="Y17" s="2">
        <f ca="1">IFERROR(IF(Inputs!$E$14 = "Semi-annual",('Interim Operational Data'!Y16/OFFSET(Y16,0,-2,,))-1,('Interim Operational Data'!Y16/OFFSET('Interim Operational Data'!Y16,0,-4,,))-1),"")</f>
        <v>-0.47218045112781959</v>
      </c>
      <c r="Z17" s="2">
        <f ca="1">IFERROR(IF(Inputs!$E$14 = "Semi-annual",('Interim Operational Data'!Z16/OFFSET(Z16,0,-2,,))-1,('Interim Operational Data'!Z16/OFFSET('Interim Operational Data'!Z16,0,-4,,))-1),"")</f>
        <v>-0.46003016591251888</v>
      </c>
      <c r="AA17" s="2">
        <f ca="1">IFERROR(IF(Inputs!$E$14 = "Semi-annual",('Interim Operational Data'!AA16/OFFSET(AA16,0,-2,,))-1,('Interim Operational Data'!AA16/OFFSET('Interim Operational Data'!AA16,0,-4,,))-1),"")</f>
        <v>-0.33198380566801622</v>
      </c>
      <c r="AB17" s="2">
        <f ca="1">IFERROR(IF(Inputs!$E$14 = "Semi-annual",('Interim Operational Data'!AB16/OFFSET(AB16,0,-2,,))-1,('Interim Operational Data'!AB16/OFFSET('Interim Operational Data'!AB16,0,-4,,))-1),"")</f>
        <v>0.125</v>
      </c>
    </row>
    <row r="18" spans="1:30" x14ac:dyDescent="0.3">
      <c r="A18" s="85" t="s">
        <v>230</v>
      </c>
      <c r="B18" s="35">
        <v>369</v>
      </c>
      <c r="C18" s="35">
        <v>371</v>
      </c>
      <c r="D18" s="35">
        <v>372</v>
      </c>
      <c r="E18" s="210">
        <v>370</v>
      </c>
      <c r="F18" s="35">
        <v>374</v>
      </c>
      <c r="G18" s="35">
        <v>380</v>
      </c>
      <c r="H18" s="35">
        <v>382</v>
      </c>
      <c r="I18" s="210">
        <v>381</v>
      </c>
      <c r="J18" s="35">
        <v>384</v>
      </c>
      <c r="K18" s="35">
        <v>393</v>
      </c>
      <c r="L18" s="35">
        <v>392</v>
      </c>
      <c r="M18" s="210">
        <v>395</v>
      </c>
      <c r="N18" s="35">
        <v>406</v>
      </c>
      <c r="O18" s="35">
        <v>413</v>
      </c>
      <c r="P18" s="35">
        <v>409</v>
      </c>
      <c r="Q18" s="210">
        <v>400</v>
      </c>
      <c r="R18" s="35">
        <v>401</v>
      </c>
      <c r="S18" s="35">
        <v>400</v>
      </c>
      <c r="T18" s="35">
        <v>404</v>
      </c>
      <c r="U18" s="210">
        <v>403</v>
      </c>
      <c r="V18" s="35">
        <v>406</v>
      </c>
      <c r="W18" s="35">
        <v>348</v>
      </c>
      <c r="X18" s="35">
        <v>351</v>
      </c>
      <c r="Y18" s="35">
        <v>344</v>
      </c>
      <c r="Z18" s="35">
        <f>207+125</f>
        <v>332</v>
      </c>
      <c r="AA18" s="35">
        <f>168+39+129</f>
        <v>336</v>
      </c>
      <c r="AB18" s="35">
        <f>167+39+131</f>
        <v>337</v>
      </c>
    </row>
    <row r="19" spans="1:30" x14ac:dyDescent="0.3">
      <c r="A19" s="85" t="s">
        <v>231</v>
      </c>
      <c r="B19" s="34"/>
      <c r="C19" s="34"/>
      <c r="D19" s="34"/>
      <c r="E19" s="209"/>
      <c r="F19" s="34"/>
      <c r="G19" s="34"/>
      <c r="H19" s="34"/>
      <c r="I19" s="209"/>
      <c r="J19" s="34"/>
      <c r="K19" s="34"/>
      <c r="L19" s="34"/>
      <c r="M19" s="209"/>
      <c r="N19" s="34"/>
      <c r="O19" s="34"/>
      <c r="P19" s="34"/>
      <c r="Q19" s="209"/>
      <c r="R19" s="34"/>
      <c r="S19" s="34"/>
      <c r="T19" s="34"/>
      <c r="U19" s="209"/>
      <c r="V19" s="34"/>
      <c r="W19" s="34"/>
      <c r="X19" s="34"/>
      <c r="Y19" s="34"/>
      <c r="Z19" s="34"/>
      <c r="AA19" s="34"/>
      <c r="AB19" s="34"/>
    </row>
    <row r="20" spans="1:30" x14ac:dyDescent="0.3">
      <c r="A20" s="85" t="s">
        <v>232</v>
      </c>
      <c r="B20" s="34">
        <v>9.6999999999999993</v>
      </c>
      <c r="C20" s="34">
        <v>10</v>
      </c>
      <c r="D20" s="34">
        <v>11</v>
      </c>
      <c r="E20" s="209">
        <v>9.4</v>
      </c>
      <c r="F20" s="34">
        <v>9.8000000000000007</v>
      </c>
      <c r="G20" s="34">
        <v>10.1</v>
      </c>
      <c r="H20" s="34">
        <v>11.4</v>
      </c>
      <c r="I20" s="209">
        <v>9.5</v>
      </c>
      <c r="J20" s="34">
        <v>9.9</v>
      </c>
      <c r="K20" s="34">
        <v>10.3</v>
      </c>
      <c r="L20" s="34">
        <v>11.6</v>
      </c>
      <c r="M20" s="209">
        <v>9.6999999999999993</v>
      </c>
      <c r="N20" s="34">
        <v>10</v>
      </c>
      <c r="O20" s="34">
        <v>10.1</v>
      </c>
      <c r="P20" s="34">
        <v>11.6</v>
      </c>
      <c r="Q20" s="209">
        <v>9.6999999999999993</v>
      </c>
      <c r="R20" s="34">
        <v>10.199999999999999</v>
      </c>
      <c r="S20" s="34">
        <v>10.7</v>
      </c>
      <c r="T20" s="34">
        <v>11.8</v>
      </c>
      <c r="U20" s="209">
        <v>10.1</v>
      </c>
      <c r="V20" s="34">
        <v>9.1</v>
      </c>
      <c r="W20" s="34"/>
      <c r="X20" s="34"/>
      <c r="Y20" s="34"/>
      <c r="Z20" s="34"/>
      <c r="AA20" s="34"/>
      <c r="AB20" s="34"/>
    </row>
    <row r="21" spans="1:30" x14ac:dyDescent="0.3">
      <c r="A21" s="85" t="s">
        <v>0</v>
      </c>
      <c r="B21" s="2"/>
      <c r="C21" s="2" t="str">
        <f ca="1">IFERROR(IF(Inputs!$E$14 = "Semi-annual",('Interim Operational Data'!C20/OFFSET(C20,0,-2,,))-1,('Interim Operational Data'!C20/OFFSET('Interim Operational Data'!C20,0,-4,,))-1),"")</f>
        <v/>
      </c>
      <c r="D21" s="2" t="str">
        <f ca="1">IFERROR(IF(Inputs!$E$14 = "Semi-annual",('Interim Operational Data'!D20/OFFSET(D20,0,-2,,))-1,('Interim Operational Data'!D20/OFFSET('Interim Operational Data'!D20,0,-4,,))-1),"")</f>
        <v/>
      </c>
      <c r="E21" s="301" t="str">
        <f ca="1">IFERROR(IF(Inputs!$E$14 = "Semi-annual",('Interim Operational Data'!E20/OFFSET(E20,0,-2,,))-1,('Interim Operational Data'!E20/OFFSET('Interim Operational Data'!E20,0,-4,,))-1),"")</f>
        <v/>
      </c>
      <c r="F21" s="2">
        <f ca="1">IFERROR(IF(Inputs!$E$14 = "Semi-annual",('Interim Operational Data'!F20/OFFSET(F20,0,-2,,))-1,('Interim Operational Data'!F20/OFFSET('Interim Operational Data'!F20,0,-4,,))-1),"")</f>
        <v>1.0309278350515649E-2</v>
      </c>
      <c r="G21" s="2">
        <f ca="1">IFERROR(IF(Inputs!$E$14 = "Semi-annual",('Interim Operational Data'!G20/OFFSET(G20,0,-2,,))-1,('Interim Operational Data'!G20/OFFSET('Interim Operational Data'!G20,0,-4,,))-1),"")</f>
        <v>1.0000000000000009E-2</v>
      </c>
      <c r="H21" s="2">
        <f ca="1">IFERROR(IF(Inputs!$E$14 = "Semi-annual",('Interim Operational Data'!H20/OFFSET(H20,0,-2,,))-1,('Interim Operational Data'!H20/OFFSET('Interim Operational Data'!H20,0,-4,,))-1),"")</f>
        <v>3.6363636363636376E-2</v>
      </c>
      <c r="I21" s="301">
        <f ca="1">IFERROR(IF(Inputs!$E$14 = "Semi-annual",('Interim Operational Data'!I20/OFFSET(I20,0,-2,,))-1,('Interim Operational Data'!I20/OFFSET('Interim Operational Data'!I20,0,-4,,))-1),"")</f>
        <v>1.0638297872340496E-2</v>
      </c>
      <c r="J21" s="2">
        <f ca="1">IFERROR(IF(Inputs!$E$14 = "Semi-annual",('Interim Operational Data'!J20/OFFSET(J20,0,-2,,))-1,('Interim Operational Data'!J20/OFFSET('Interim Operational Data'!J20,0,-4,,))-1),"")</f>
        <v>1.0204081632652962E-2</v>
      </c>
      <c r="K21" s="2">
        <f ca="1">IFERROR(IF(Inputs!$E$14 = "Semi-annual",('Interim Operational Data'!K20/OFFSET(K20,0,-2,,))-1,('Interim Operational Data'!K20/OFFSET('Interim Operational Data'!K20,0,-4,,))-1),"")</f>
        <v>1.980198019801982E-2</v>
      </c>
      <c r="L21" s="2">
        <f ca="1">IFERROR(IF(Inputs!$E$14 = "Semi-annual",('Interim Operational Data'!L20/OFFSET(L20,0,-2,,))-1,('Interim Operational Data'!L20/OFFSET('Interim Operational Data'!L20,0,-4,,))-1),"")</f>
        <v>1.754385964912264E-2</v>
      </c>
      <c r="M21" s="301">
        <f ca="1">IFERROR(IF(Inputs!$E$14 = "Semi-annual",('Interim Operational Data'!M20/OFFSET(M20,0,-2,,))-1,('Interim Operational Data'!M20/OFFSET('Interim Operational Data'!M20,0,-4,,))-1),"")</f>
        <v>2.1052631578947212E-2</v>
      </c>
      <c r="N21" s="2">
        <f ca="1">IFERROR(IF(Inputs!$E$14 = "Semi-annual",('Interim Operational Data'!N20/OFFSET(N20,0,-2,,))-1,('Interim Operational Data'!N20/OFFSET('Interim Operational Data'!N20,0,-4,,))-1),"")</f>
        <v>1.0101010101010166E-2</v>
      </c>
      <c r="O21" s="2">
        <f ca="1">IFERROR(IF(Inputs!$E$14 = "Semi-annual",('Interim Operational Data'!O20/OFFSET(O20,0,-2,,))-1,('Interim Operational Data'!O20/OFFSET('Interim Operational Data'!O20,0,-4,,))-1),"")</f>
        <v>-1.9417475728155442E-2</v>
      </c>
      <c r="P21" s="2">
        <f ca="1">IFERROR(IF(Inputs!$E$14 = "Semi-annual",('Interim Operational Data'!P20/OFFSET(P20,0,-2,,))-1,('Interim Operational Data'!P20/OFFSET('Interim Operational Data'!P20,0,-4,,))-1),"")</f>
        <v>0</v>
      </c>
      <c r="Q21" s="301">
        <f ca="1">IFERROR(IF(Inputs!$E$14 = "Semi-annual",('Interim Operational Data'!Q20/OFFSET(Q20,0,-2,,))-1,('Interim Operational Data'!Q20/OFFSET('Interim Operational Data'!Q20,0,-4,,))-1),"")</f>
        <v>0</v>
      </c>
      <c r="R21" s="2">
        <f ca="1">IFERROR(IF(Inputs!$E$14 = "Semi-annual",('Interim Operational Data'!R20/OFFSET(R20,0,-2,,))-1,('Interim Operational Data'!R20/OFFSET('Interim Operational Data'!R20,0,-4,,))-1),"")</f>
        <v>2.0000000000000018E-2</v>
      </c>
      <c r="S21" s="2">
        <f ca="1">IFERROR(IF(Inputs!$E$14 = "Semi-annual",('Interim Operational Data'!S20/OFFSET(S20,0,-2,,))-1,('Interim Operational Data'!S20/OFFSET('Interim Operational Data'!S20,0,-4,,))-1),"")</f>
        <v>5.9405940594059459E-2</v>
      </c>
      <c r="T21" s="2">
        <f ca="1">IFERROR(IF(Inputs!$E$14 = "Semi-annual",('Interim Operational Data'!T20/OFFSET(T20,0,-2,,))-1,('Interim Operational Data'!T20/OFFSET('Interim Operational Data'!T20,0,-4,,))-1),"")</f>
        <v>1.7241379310344973E-2</v>
      </c>
      <c r="U21" s="301">
        <f ca="1">IFERROR(IF(Inputs!$E$14 = "Semi-annual",('Interim Operational Data'!U20/OFFSET(U20,0,-2,,))-1,('Interim Operational Data'!U20/OFFSET('Interim Operational Data'!U20,0,-4,,))-1),"")</f>
        <v>4.1237113402061931E-2</v>
      </c>
      <c r="V21" s="2">
        <f ca="1">IFERROR(IF(Inputs!$E$14 = "Semi-annual",('Interim Operational Data'!V20/OFFSET(V20,0,-2,,))-1,('Interim Operational Data'!V20/OFFSET('Interim Operational Data'!V20,0,-4,,))-1),"")</f>
        <v>-0.10784313725490191</v>
      </c>
      <c r="W21" s="2">
        <f ca="1">IFERROR(IF(Inputs!$E$14 = "Semi-annual",('Interim Operational Data'!W20/OFFSET(W20,0,-2,,))-1,('Interim Operational Data'!W20/OFFSET('Interim Operational Data'!W20,0,-4,,))-1),"")</f>
        <v>-1</v>
      </c>
      <c r="X21" s="2">
        <f ca="1">IFERROR(IF(Inputs!$E$14 = "Semi-annual",('Interim Operational Data'!X20/OFFSET(X20,0,-2,,))-1,('Interim Operational Data'!X20/OFFSET('Interim Operational Data'!X20,0,-4,,))-1),"")</f>
        <v>-1</v>
      </c>
      <c r="Y21" s="2">
        <f ca="1">IFERROR(IF(Inputs!$E$14 = "Semi-annual",('Interim Operational Data'!Y20/OFFSET(Y20,0,-2,,))-1,('Interim Operational Data'!Y20/OFFSET('Interim Operational Data'!Y20,0,-4,,))-1),"")</f>
        <v>-1</v>
      </c>
      <c r="Z21" s="2">
        <f ca="1">IFERROR(IF(Inputs!$E$14 = "Semi-annual",('Interim Operational Data'!Z20/OFFSET(Z20,0,-2,,))-1,('Interim Operational Data'!Z20/OFFSET('Interim Operational Data'!Z20,0,-4,,))-1),"")</f>
        <v>-1</v>
      </c>
      <c r="AA21" s="2" t="str">
        <f ca="1">IFERROR(IF(Inputs!$E$14 = "Semi-annual",('Interim Operational Data'!AA20/OFFSET(AA20,0,-2,,))-1,('Interim Operational Data'!AA20/OFFSET('Interim Operational Data'!AA20,0,-4,,))-1),"")</f>
        <v/>
      </c>
      <c r="AB21" s="2" t="str">
        <f ca="1">IFERROR(IF(Inputs!$E$14 = "Semi-annual",('Interim Operational Data'!AB20/OFFSET(AB20,0,-2,,))-1,('Interim Operational Data'!AB20/OFFSET('Interim Operational Data'!AB20,0,-4,,))-1),"")</f>
        <v/>
      </c>
    </row>
    <row r="22" spans="1:30" x14ac:dyDescent="0.3">
      <c r="A22" s="85" t="s">
        <v>233</v>
      </c>
      <c r="B22" s="34"/>
      <c r="C22" s="33"/>
      <c r="D22" s="33"/>
      <c r="E22" s="211"/>
      <c r="F22" s="33"/>
      <c r="G22" s="33"/>
      <c r="H22" s="33"/>
      <c r="I22" s="211"/>
      <c r="J22" s="33"/>
      <c r="K22" s="33"/>
      <c r="L22" s="33"/>
      <c r="M22" s="211"/>
      <c r="N22" s="33"/>
      <c r="O22" s="33"/>
      <c r="P22" s="33"/>
      <c r="Q22" s="211"/>
      <c r="R22" s="33"/>
      <c r="S22" s="33"/>
      <c r="T22" s="33"/>
      <c r="U22" s="211"/>
      <c r="V22" s="33"/>
      <c r="W22" s="33"/>
      <c r="X22" s="33"/>
      <c r="Y22" s="33"/>
      <c r="Z22" s="33"/>
      <c r="AA22" s="33"/>
      <c r="AB22" s="33"/>
    </row>
    <row r="23" spans="1:30" x14ac:dyDescent="0.3">
      <c r="A23" s="85" t="s">
        <v>0</v>
      </c>
      <c r="B23" s="5"/>
      <c r="C23" s="2" t="str">
        <f ca="1">IFERROR(IF(Inputs!$E$14 = "Semi-annual",('Interim Operational Data'!C22/OFFSET(C22,0,-2,,))-1,('Interim Operational Data'!C22/OFFSET('Interim Operational Data'!C22,0,-4,,))-1),"")</f>
        <v/>
      </c>
      <c r="D23" s="2" t="str">
        <f ca="1">IFERROR(IF(Inputs!$E$14 = "Semi-annual",('Interim Operational Data'!D22/OFFSET(D22,0,-2,,))-1,('Interim Operational Data'!D22/OFFSET('Interim Operational Data'!D22,0,-4,,))-1),"")</f>
        <v/>
      </c>
      <c r="E23" s="301" t="str">
        <f ca="1">IFERROR(IF(Inputs!$E$14 = "Semi-annual",('Interim Operational Data'!E22/OFFSET(E22,0,-2,,))-1,('Interim Operational Data'!E22/OFFSET('Interim Operational Data'!E22,0,-4,,))-1),"")</f>
        <v/>
      </c>
      <c r="F23" s="2" t="str">
        <f ca="1">IFERROR(IF(Inputs!$E$14 = "Semi-annual",('Interim Operational Data'!F22/OFFSET(F22,0,-2,,))-1,('Interim Operational Data'!F22/OFFSET('Interim Operational Data'!F22,0,-4,,))-1),"")</f>
        <v/>
      </c>
      <c r="G23" s="2" t="str">
        <f ca="1">IFERROR(IF(Inputs!$E$14 = "Semi-annual",('Interim Operational Data'!G22/OFFSET(G22,0,-2,,))-1,('Interim Operational Data'!G22/OFFSET('Interim Operational Data'!G22,0,-4,,))-1),"")</f>
        <v/>
      </c>
      <c r="H23" s="2" t="str">
        <f ca="1">IFERROR(IF(Inputs!$E$14 = "Semi-annual",('Interim Operational Data'!H22/OFFSET(H22,0,-2,,))-1,('Interim Operational Data'!H22/OFFSET('Interim Operational Data'!H22,0,-4,,))-1),"")</f>
        <v/>
      </c>
      <c r="I23" s="301" t="str">
        <f ca="1">IFERROR(IF(Inputs!$E$14 = "Semi-annual",('Interim Operational Data'!I22/OFFSET(I22,0,-2,,))-1,('Interim Operational Data'!I22/OFFSET('Interim Operational Data'!I22,0,-4,,))-1),"")</f>
        <v/>
      </c>
      <c r="J23" s="2" t="str">
        <f ca="1">IFERROR(IF(Inputs!$E$14 = "Semi-annual",('Interim Operational Data'!J22/OFFSET(J22,0,-2,,))-1,('Interim Operational Data'!J22/OFFSET('Interim Operational Data'!J22,0,-4,,))-1),"")</f>
        <v/>
      </c>
      <c r="K23" s="2" t="str">
        <f ca="1">IFERROR(IF(Inputs!$E$14 = "Semi-annual",('Interim Operational Data'!K22/OFFSET(K22,0,-2,,))-1,('Interim Operational Data'!K22/OFFSET('Interim Operational Data'!K22,0,-4,,))-1),"")</f>
        <v/>
      </c>
      <c r="L23" s="2" t="str">
        <f ca="1">IFERROR(IF(Inputs!$E$14 = "Semi-annual",('Interim Operational Data'!L22/OFFSET(L22,0,-2,,))-1,('Interim Operational Data'!L22/OFFSET('Interim Operational Data'!L22,0,-4,,))-1),"")</f>
        <v/>
      </c>
      <c r="M23" s="301" t="str">
        <f ca="1">IFERROR(IF(Inputs!$E$14 = "Semi-annual",('Interim Operational Data'!M22/OFFSET(M22,0,-2,,))-1,('Interim Operational Data'!M22/OFFSET('Interim Operational Data'!M22,0,-4,,))-1),"")</f>
        <v/>
      </c>
      <c r="N23" s="2" t="str">
        <f ca="1">IFERROR(IF(Inputs!$E$14 = "Semi-annual",('Interim Operational Data'!N22/OFFSET(N22,0,-2,,))-1,('Interim Operational Data'!N22/OFFSET('Interim Operational Data'!N22,0,-4,,))-1),"")</f>
        <v/>
      </c>
      <c r="O23" s="2" t="str">
        <f ca="1">IFERROR(IF(Inputs!$E$14 = "Semi-annual",('Interim Operational Data'!O22/OFFSET(O22,0,-2,,))-1,('Interim Operational Data'!O22/OFFSET('Interim Operational Data'!O22,0,-4,,))-1),"")</f>
        <v/>
      </c>
      <c r="P23" s="2" t="str">
        <f ca="1">IFERROR(IF(Inputs!$E$14 = "Semi-annual",('Interim Operational Data'!P22/OFFSET(P22,0,-2,,))-1,('Interim Operational Data'!P22/OFFSET('Interim Operational Data'!P22,0,-4,,))-1),"")</f>
        <v/>
      </c>
      <c r="Q23" s="301" t="str">
        <f ca="1">IFERROR(IF(Inputs!$E$14 = "Semi-annual",('Interim Operational Data'!Q22/OFFSET(Q22,0,-2,,))-1,('Interim Operational Data'!Q22/OFFSET('Interim Operational Data'!Q22,0,-4,,))-1),"")</f>
        <v/>
      </c>
      <c r="R23" s="2" t="str">
        <f ca="1">IFERROR(IF(Inputs!$E$14 = "Semi-annual",('Interim Operational Data'!R22/OFFSET(R22,0,-2,,))-1,('Interim Operational Data'!R22/OFFSET('Interim Operational Data'!R22,0,-4,,))-1),"")</f>
        <v/>
      </c>
      <c r="S23" s="2" t="str">
        <f ca="1">IFERROR(IF(Inputs!$E$14 = "Semi-annual",('Interim Operational Data'!S22/OFFSET(S22,0,-2,,))-1,('Interim Operational Data'!S22/OFFSET('Interim Operational Data'!S22,0,-4,,))-1),"")</f>
        <v/>
      </c>
      <c r="T23" s="2" t="str">
        <f ca="1">IFERROR(IF(Inputs!$E$14 = "Semi-annual",('Interim Operational Data'!T22/OFFSET(T22,0,-2,,))-1,('Interim Operational Data'!T22/OFFSET('Interim Operational Data'!T22,0,-4,,))-1),"")</f>
        <v/>
      </c>
      <c r="U23" s="301" t="str">
        <f ca="1">IFERROR(IF(Inputs!$E$14 = "Semi-annual",('Interim Operational Data'!U22/OFFSET(U22,0,-2,,))-1,('Interim Operational Data'!U22/OFFSET('Interim Operational Data'!U22,0,-4,,))-1),"")</f>
        <v/>
      </c>
      <c r="V23" s="2" t="str">
        <f ca="1">IFERROR(IF(Inputs!$E$14 = "Semi-annual",('Interim Operational Data'!V22/OFFSET(V22,0,-2,,))-1,('Interim Operational Data'!V22/OFFSET('Interim Operational Data'!V22,0,-4,,))-1),"")</f>
        <v/>
      </c>
      <c r="W23" s="2" t="str">
        <f ca="1">IFERROR(IF(Inputs!$E$14 = "Semi-annual",('Interim Operational Data'!W22/OFFSET(W22,0,-2,,))-1,('Interim Operational Data'!W22/OFFSET('Interim Operational Data'!W22,0,-4,,))-1),"")</f>
        <v/>
      </c>
      <c r="X23" s="2" t="str">
        <f ca="1">IFERROR(IF(Inputs!$E$14 = "Semi-annual",('Interim Operational Data'!X22/OFFSET(X22,0,-2,,))-1,('Interim Operational Data'!X22/OFFSET('Interim Operational Data'!X22,0,-4,,))-1),"")</f>
        <v/>
      </c>
      <c r="Y23" s="2" t="str">
        <f ca="1">IFERROR(IF(Inputs!$E$14 = "Semi-annual",('Interim Operational Data'!Y22/OFFSET(Y22,0,-2,,))-1,('Interim Operational Data'!Y22/OFFSET('Interim Operational Data'!Y22,0,-4,,))-1),"")</f>
        <v/>
      </c>
      <c r="Z23" s="2" t="str">
        <f ca="1">IFERROR(IF(Inputs!$E$14 = "Semi-annual",('Interim Operational Data'!Z22/OFFSET(Z22,0,-2,,))-1,('Interim Operational Data'!Z22/OFFSET('Interim Operational Data'!Z22,0,-4,,))-1),"")</f>
        <v/>
      </c>
      <c r="AA23" s="2" t="str">
        <f ca="1">IFERROR(IF(Inputs!$E$14 = "Semi-annual",('Interim Operational Data'!AA22/OFFSET(AA22,0,-2,,))-1,('Interim Operational Data'!AA22/OFFSET('Interim Operational Data'!AA22,0,-4,,))-1),"")</f>
        <v/>
      </c>
      <c r="AB23" s="2" t="str">
        <f ca="1">IFERROR(IF(Inputs!$E$14 = "Semi-annual",('Interim Operational Data'!AB22/OFFSET(AB22,0,-2,,))-1,('Interim Operational Data'!AB22/OFFSET('Interim Operational Data'!AB22,0,-4,,))-1),"")</f>
        <v/>
      </c>
    </row>
    <row r="24" spans="1:30" x14ac:dyDescent="0.3">
      <c r="A24" s="85" t="s">
        <v>234</v>
      </c>
      <c r="B24" s="34"/>
      <c r="C24" s="33"/>
      <c r="D24" s="33"/>
      <c r="E24" s="211"/>
      <c r="F24" s="33"/>
      <c r="G24" s="33"/>
      <c r="H24" s="33"/>
      <c r="I24" s="211"/>
      <c r="J24" s="33"/>
      <c r="K24" s="287"/>
      <c r="L24" s="33"/>
      <c r="M24" s="211"/>
      <c r="N24" s="33"/>
      <c r="O24" s="33"/>
      <c r="P24" s="287"/>
      <c r="Q24" s="211"/>
      <c r="R24" s="33"/>
      <c r="S24" s="33"/>
      <c r="T24" s="33"/>
      <c r="U24" s="211"/>
      <c r="V24" s="33"/>
      <c r="W24" s="33"/>
      <c r="X24" s="33"/>
      <c r="Y24" s="33"/>
      <c r="Z24" s="33"/>
      <c r="AA24" s="33"/>
      <c r="AB24" s="33"/>
    </row>
    <row r="25" spans="1:30" x14ac:dyDescent="0.3">
      <c r="A25" s="85" t="s">
        <v>235</v>
      </c>
      <c r="B25" s="34">
        <v>1039</v>
      </c>
      <c r="C25" s="33">
        <v>1114</v>
      </c>
      <c r="D25" s="33">
        <v>1290</v>
      </c>
      <c r="E25" s="211">
        <v>1035</v>
      </c>
      <c r="F25" s="33">
        <v>1061.5999999999999</v>
      </c>
      <c r="G25" s="33">
        <v>1157</v>
      </c>
      <c r="H25" s="33">
        <v>1458</v>
      </c>
      <c r="I25" s="211">
        <v>1160</v>
      </c>
      <c r="J25" s="33">
        <v>1193.732</v>
      </c>
      <c r="K25" s="33">
        <v>1300</v>
      </c>
      <c r="L25" s="33">
        <v>1583.9839999999999</v>
      </c>
      <c r="M25" s="211">
        <v>1254.1110000000001</v>
      </c>
      <c r="N25" s="33">
        <v>1281.838</v>
      </c>
      <c r="O25" s="33">
        <v>1370.194</v>
      </c>
      <c r="P25" s="33">
        <v>1652.1369999999999</v>
      </c>
      <c r="Q25" s="211">
        <v>1293.0630000000001</v>
      </c>
      <c r="R25" s="33">
        <v>1320.7650000000001</v>
      </c>
      <c r="S25" s="33">
        <v>1410.4659999999999</v>
      </c>
      <c r="T25" s="33">
        <v>1633.12</v>
      </c>
      <c r="U25" s="211">
        <v>1349.5730000000001</v>
      </c>
      <c r="V25" s="33">
        <v>1208.1189999999999</v>
      </c>
      <c r="W25" s="33">
        <v>240.78299999999999</v>
      </c>
      <c r="X25" s="33">
        <v>332.65800000000002</v>
      </c>
      <c r="Y25" s="33">
        <v>372.20400000000001</v>
      </c>
      <c r="Z25" s="33">
        <v>318.358</v>
      </c>
      <c r="AA25" s="33">
        <v>349.69</v>
      </c>
      <c r="AB25" s="33">
        <v>648.51499999999999</v>
      </c>
    </row>
    <row r="26" spans="1:30" x14ac:dyDescent="0.3">
      <c r="A26" s="85" t="s">
        <v>236</v>
      </c>
      <c r="B26" s="34"/>
      <c r="C26" s="33"/>
      <c r="D26" s="33"/>
      <c r="E26" s="211"/>
      <c r="F26" s="33"/>
      <c r="G26" s="33"/>
      <c r="H26" s="33"/>
      <c r="I26" s="211"/>
      <c r="J26" s="33"/>
      <c r="K26" s="33"/>
      <c r="L26" s="33"/>
      <c r="M26" s="211"/>
      <c r="N26" s="33"/>
      <c r="O26" s="33"/>
      <c r="P26" s="33"/>
      <c r="Q26" s="211"/>
      <c r="R26" s="33"/>
      <c r="S26" s="33"/>
      <c r="T26" s="33"/>
      <c r="U26" s="211"/>
      <c r="V26" s="33"/>
      <c r="W26" s="33"/>
      <c r="X26" s="33"/>
      <c r="Y26" s="33"/>
      <c r="Z26" s="33"/>
      <c r="AA26" s="33"/>
      <c r="AB26" s="33"/>
    </row>
    <row r="27" spans="1:30" x14ac:dyDescent="0.3">
      <c r="A27" s="85" t="s">
        <v>46</v>
      </c>
      <c r="B27" s="33">
        <v>9487</v>
      </c>
      <c r="C27" s="33">
        <v>10229</v>
      </c>
      <c r="D27" s="33">
        <v>11723</v>
      </c>
      <c r="E27" s="211">
        <v>9686</v>
      </c>
      <c r="F27" s="33">
        <v>9957</v>
      </c>
      <c r="G27" s="33">
        <v>10846</v>
      </c>
      <c r="H27" s="33">
        <v>13327</v>
      </c>
      <c r="I27" s="211">
        <v>10719</v>
      </c>
      <c r="J27" s="33">
        <v>10924</v>
      </c>
      <c r="K27" s="33">
        <v>11895</v>
      </c>
      <c r="L27" s="33">
        <v>13993</v>
      </c>
      <c r="M27" s="211">
        <v>11314</v>
      </c>
      <c r="N27" s="33">
        <v>11654</v>
      </c>
      <c r="O27" s="33">
        <v>12535</v>
      </c>
      <c r="P27" s="33">
        <v>14806</v>
      </c>
      <c r="Q27" s="211">
        <v>11909</v>
      </c>
      <c r="R27" s="33">
        <v>12031</v>
      </c>
      <c r="S27" s="33">
        <v>12837</v>
      </c>
      <c r="T27" s="33">
        <v>14627</v>
      </c>
      <c r="U27" s="211">
        <v>12048</v>
      </c>
      <c r="V27" s="33">
        <v>9927</v>
      </c>
      <c r="W27" s="33">
        <v>480</v>
      </c>
      <c r="X27" s="33">
        <v>1728</v>
      </c>
      <c r="Y27" s="33">
        <f>'Annual Operational Data'!L27-SUM('Interim Operational Data'!V27:X27)</f>
        <v>1625</v>
      </c>
      <c r="Z27" s="33">
        <v>1124</v>
      </c>
      <c r="AA27" s="33">
        <v>1165</v>
      </c>
      <c r="AB27" s="33">
        <v>5067</v>
      </c>
    </row>
    <row r="28" spans="1:30" x14ac:dyDescent="0.3">
      <c r="A28" s="85" t="s">
        <v>0</v>
      </c>
      <c r="B28" s="2"/>
      <c r="C28" s="2" t="str">
        <f ca="1">IFERROR(IF(Inputs!$E$14 = "Semi-annual",('Interim Operational Data'!C27/OFFSET(C27,0,-2,,))-1,('Interim Operational Data'!C27/OFFSET('Interim Operational Data'!C27,0,-4,,))-1),"")</f>
        <v/>
      </c>
      <c r="D28" s="2" t="str">
        <f ca="1">IFERROR(IF(Inputs!$E$14 = "Semi-annual",('Interim Operational Data'!D27/OFFSET(D27,0,-2,,))-1,('Interim Operational Data'!D27/OFFSET('Interim Operational Data'!D27,0,-4,,))-1),"")</f>
        <v/>
      </c>
      <c r="E28" s="301" t="str">
        <f ca="1">IFERROR(IF(Inputs!$E$14 = "Semi-annual",('Interim Operational Data'!E27/OFFSET(E27,0,-2,,))-1,('Interim Operational Data'!E27/OFFSET('Interim Operational Data'!E27,0,-4,,))-1),"")</f>
        <v/>
      </c>
      <c r="F28" s="2">
        <f ca="1">IFERROR(IF(Inputs!$E$14 = "Semi-annual",('Interim Operational Data'!F27/OFFSET(F27,0,-2,,))-1,('Interim Operational Data'!F27/OFFSET('Interim Operational Data'!F27,0,-4,,))-1),"")</f>
        <v>4.9541477811742451E-2</v>
      </c>
      <c r="G28" s="2">
        <f ca="1">IFERROR(IF(Inputs!$E$14 = "Semi-annual",('Interim Operational Data'!G27/OFFSET(G27,0,-2,,))-1,('Interim Operational Data'!G27/OFFSET('Interim Operational Data'!G27,0,-4,,))-1),"")</f>
        <v>6.0318701730374347E-2</v>
      </c>
      <c r="H28" s="2">
        <f ca="1">IFERROR(IF(Inputs!$E$14 = "Semi-annual",('Interim Operational Data'!H27/OFFSET(H27,0,-2,,))-1,('Interim Operational Data'!H27/OFFSET('Interim Operational Data'!H27,0,-4,,))-1),"")</f>
        <v>0.13682504478375845</v>
      </c>
      <c r="I28" s="301">
        <f ca="1">IFERROR(IF(Inputs!$E$14 = "Semi-annual",('Interim Operational Data'!I27/OFFSET(I27,0,-2,,))-1,('Interim Operational Data'!I27/OFFSET('Interim Operational Data'!I27,0,-4,,))-1),"")</f>
        <v>0.10664877142267182</v>
      </c>
      <c r="J28" s="2">
        <f ca="1">IFERROR(IF(Inputs!$E$14 = "Semi-annual",('Interim Operational Data'!J27/OFFSET(J27,0,-2,,))-1,('Interim Operational Data'!J27/OFFSET('Interim Operational Data'!J27,0,-4,,))-1),"")</f>
        <v>9.7117605704529542E-2</v>
      </c>
      <c r="K28" s="2">
        <f ca="1">IFERROR(IF(Inputs!$E$14 = "Semi-annual",('Interim Operational Data'!K27/OFFSET(K27,0,-2,,))-1,('Interim Operational Data'!K27/OFFSET('Interim Operational Data'!K27,0,-4,,))-1),"")</f>
        <v>9.6717683938779331E-2</v>
      </c>
      <c r="L28" s="2">
        <f ca="1">IFERROR(IF(Inputs!$E$14 = "Semi-annual",('Interim Operational Data'!L27/OFFSET(L27,0,-2,,))-1,('Interim Operational Data'!L27/OFFSET('Interim Operational Data'!L27,0,-4,,))-1),"")</f>
        <v>4.9973737525324635E-2</v>
      </c>
      <c r="M28" s="301">
        <f ca="1">IFERROR(IF(Inputs!$E$14 = "Semi-annual",('Interim Operational Data'!M27/OFFSET(M27,0,-2,,))-1,('Interim Operational Data'!M27/OFFSET('Interim Operational Data'!M27,0,-4,,))-1),"")</f>
        <v>5.5508909413191532E-2</v>
      </c>
      <c r="N28" s="2">
        <f ca="1">IFERROR(IF(Inputs!$E$14 = "Semi-annual",('Interim Operational Data'!N27/OFFSET(N27,0,-2,,))-1,('Interim Operational Data'!N27/OFFSET('Interim Operational Data'!N27,0,-4,,))-1),"")</f>
        <v>6.6825338703771608E-2</v>
      </c>
      <c r="O28" s="2">
        <f ca="1">IFERROR(IF(Inputs!$E$14 = "Semi-annual",('Interim Operational Data'!O27/OFFSET(O27,0,-2,,))-1,('Interim Operational Data'!O27/OFFSET('Interim Operational Data'!O27,0,-4,,))-1),"")</f>
        <v>5.3804119377889759E-2</v>
      </c>
      <c r="P28" s="2">
        <f ca="1">IFERROR(IF(Inputs!$E$14 = "Semi-annual",('Interim Operational Data'!P27/OFFSET(P27,0,-2,,))-1,('Interim Operational Data'!P27/OFFSET('Interim Operational Data'!P27,0,-4,,))-1),"")</f>
        <v>5.8100478810833911E-2</v>
      </c>
      <c r="Q28" s="301">
        <f ca="1">IFERROR(IF(Inputs!$E$14 = "Semi-annual",('Interim Operational Data'!Q27/OFFSET(Q27,0,-2,,))-1,('Interim Operational Data'!Q27/OFFSET('Interim Operational Data'!Q27,0,-4,,))-1),"")</f>
        <v>5.2589711861410704E-2</v>
      </c>
      <c r="R28" s="2">
        <f ca="1">IFERROR(IF(Inputs!$E$14 = "Semi-annual",('Interim Operational Data'!R27/OFFSET(R27,0,-2,,))-1,('Interim Operational Data'!R27/OFFSET('Interim Operational Data'!R27,0,-4,,))-1),"")</f>
        <v>3.2349407928608187E-2</v>
      </c>
      <c r="S28" s="2">
        <f ca="1">IFERROR(IF(Inputs!$E$14 = "Semi-annual",('Interim Operational Data'!S27/OFFSET(S27,0,-2,,))-1,('Interim Operational Data'!S27/OFFSET('Interim Operational Data'!S27,0,-4,,))-1),"")</f>
        <v>2.4092540885520597E-2</v>
      </c>
      <c r="T28" s="2">
        <f ca="1">IFERROR(IF(Inputs!$E$14 = "Semi-annual",('Interim Operational Data'!T27/OFFSET(T27,0,-2,,))-1,('Interim Operational Data'!T27/OFFSET('Interim Operational Data'!T27,0,-4,,))-1),"")</f>
        <v>-1.2089693367553722E-2</v>
      </c>
      <c r="U28" s="301">
        <f ca="1">IFERROR(IF(Inputs!$E$14 = "Semi-annual",('Interim Operational Data'!U27/OFFSET(U27,0,-2,,))-1,('Interim Operational Data'!U27/OFFSET('Interim Operational Data'!U27,0,-4,,))-1),"")</f>
        <v>1.1671844823242905E-2</v>
      </c>
      <c r="V28" s="2">
        <f ca="1">IFERROR(IF(Inputs!$E$14 = "Semi-annual",('Interim Operational Data'!V27/OFFSET(V27,0,-2,,))-1,('Interim Operational Data'!V27/OFFSET('Interim Operational Data'!V27,0,-4,,))-1),"")</f>
        <v>-0.17488155598038402</v>
      </c>
      <c r="W28" s="2">
        <f ca="1">IFERROR(IF(Inputs!$E$14 = "Semi-annual",('Interim Operational Data'!W27/OFFSET(W27,0,-2,,))-1,('Interim Operational Data'!W27/OFFSET('Interim Operational Data'!W27,0,-4,,))-1),"")</f>
        <v>-0.96260808600140224</v>
      </c>
      <c r="X28" s="2">
        <f ca="1">IFERROR(IF(Inputs!$E$14 = "Semi-annual",('Interim Operational Data'!X27/OFFSET(X27,0,-2,,))-1,('Interim Operational Data'!X27/OFFSET('Interim Operational Data'!X27,0,-4,,))-1),"")</f>
        <v>-0.88186230942777055</v>
      </c>
      <c r="Y28" s="2">
        <f ca="1">IFERROR(IF(Inputs!$E$14 = "Semi-annual",('Interim Operational Data'!Y27/OFFSET(Y27,0,-2,,))-1,('Interim Operational Data'!Y27/OFFSET('Interim Operational Data'!Y27,0,-4,,))-1),"")</f>
        <v>-0.86512284196547151</v>
      </c>
      <c r="Z28" s="2">
        <f ca="1">IFERROR(IF(Inputs!$E$14 = "Semi-annual",('Interim Operational Data'!Z27/OFFSET(Z27,0,-2,,))-1,('Interim Operational Data'!Z27/OFFSET('Interim Operational Data'!Z27,0,-4,,))-1),"")</f>
        <v>-0.88677344615694564</v>
      </c>
      <c r="AA28" s="2">
        <f ca="1">IFERROR(IF(Inputs!$E$14 = "Semi-annual",('Interim Operational Data'!AA27/OFFSET(AA27,0,-2,,))-1,('Interim Operational Data'!AA27/OFFSET('Interim Operational Data'!AA27,0,-4,,))-1),"")</f>
        <v>1.4270833333333335</v>
      </c>
      <c r="AB28" s="2">
        <f ca="1">IFERROR(IF(Inputs!$E$14 = "Semi-annual",('Interim Operational Data'!AB27/OFFSET(AB27,0,-2,,))-1,('Interim Operational Data'!AB27/OFFSET('Interim Operational Data'!AB27,0,-4,,))-1),"")</f>
        <v>1.9322916666666665</v>
      </c>
    </row>
    <row r="29" spans="1:30" x14ac:dyDescent="0.3">
      <c r="A29" s="85" t="s">
        <v>421</v>
      </c>
      <c r="B29" s="33">
        <v>1486</v>
      </c>
      <c r="C29" s="33">
        <v>1550</v>
      </c>
      <c r="D29" s="33">
        <v>1634</v>
      </c>
      <c r="E29" s="211">
        <v>1495</v>
      </c>
      <c r="F29" s="33">
        <v>1505</v>
      </c>
      <c r="G29" s="33">
        <v>1614</v>
      </c>
      <c r="H29" s="33">
        <v>1752</v>
      </c>
      <c r="I29" s="211">
        <v>1592</v>
      </c>
      <c r="J29" s="33">
        <v>1603</v>
      </c>
      <c r="K29" s="33">
        <v>1695</v>
      </c>
      <c r="L29" s="33">
        <v>1820</v>
      </c>
      <c r="M29" s="211">
        <v>1666</v>
      </c>
      <c r="N29" s="33">
        <v>1665</v>
      </c>
      <c r="O29" s="33">
        <v>1736</v>
      </c>
      <c r="P29" s="33">
        <v>1844</v>
      </c>
      <c r="Q29" s="211">
        <v>1686</v>
      </c>
      <c r="R29" s="33">
        <v>1688</v>
      </c>
      <c r="S29" s="33">
        <v>1749</v>
      </c>
      <c r="T29" s="33">
        <v>1825</v>
      </c>
      <c r="U29" s="211">
        <v>1705</v>
      </c>
      <c r="V29" s="33">
        <v>1660</v>
      </c>
      <c r="W29" s="33">
        <v>1664</v>
      </c>
      <c r="X29" s="33">
        <v>1654</v>
      </c>
      <c r="Y29" s="33">
        <f>1634</f>
        <v>1634</v>
      </c>
      <c r="Z29" s="33"/>
      <c r="AA29" s="33"/>
      <c r="AB29" s="33"/>
      <c r="AD29" s="267"/>
    </row>
    <row r="30" spans="1:30" x14ac:dyDescent="0.3">
      <c r="A30" s="8" t="s">
        <v>237</v>
      </c>
      <c r="B30" s="10"/>
      <c r="C30" s="10"/>
      <c r="D30" s="10"/>
      <c r="E30" s="208"/>
      <c r="F30" s="10"/>
      <c r="G30" s="10"/>
      <c r="H30" s="10"/>
      <c r="I30" s="208"/>
      <c r="J30" s="10"/>
      <c r="K30" s="10"/>
      <c r="L30" s="10"/>
      <c r="M30" s="208"/>
      <c r="N30" s="10"/>
      <c r="O30" s="10"/>
      <c r="P30" s="10"/>
      <c r="Q30" s="208"/>
      <c r="R30" s="10"/>
      <c r="S30" s="10"/>
      <c r="T30" s="10"/>
      <c r="U30" s="208"/>
      <c r="V30" s="10"/>
      <c r="W30" s="10"/>
      <c r="X30" s="10"/>
      <c r="Y30" s="10"/>
      <c r="Z30" s="10"/>
      <c r="AA30" s="10"/>
      <c r="AB30" s="10"/>
      <c r="AD30" s="267"/>
    </row>
    <row r="31" spans="1:30" x14ac:dyDescent="0.3">
      <c r="A31" s="85" t="str">
        <f>IF(Inputs!$E$10 = "Miles", "RPMs", "RPKs")</f>
        <v>RPMs</v>
      </c>
      <c r="B31" s="33">
        <v>14937</v>
      </c>
      <c r="C31" s="33">
        <v>16845</v>
      </c>
      <c r="D31" s="33">
        <v>20462</v>
      </c>
      <c r="E31" s="211">
        <v>15301</v>
      </c>
      <c r="F31" s="33">
        <v>16092</v>
      </c>
      <c r="G31" s="33">
        <v>18418</v>
      </c>
      <c r="H31" s="33">
        <v>24328</v>
      </c>
      <c r="I31" s="211">
        <v>17643</v>
      </c>
      <c r="J31" s="33">
        <v>18341</v>
      </c>
      <c r="K31" s="33">
        <v>20928</v>
      </c>
      <c r="L31" s="33">
        <v>26472</v>
      </c>
      <c r="M31" s="211">
        <v>19396</v>
      </c>
      <c r="N31" s="33">
        <v>20440</v>
      </c>
      <c r="O31" s="33">
        <v>22654</v>
      </c>
      <c r="P31" s="33">
        <v>28465</v>
      </c>
      <c r="Q31" s="211">
        <v>20801</v>
      </c>
      <c r="R31" s="33">
        <v>21293</v>
      </c>
      <c r="S31" s="33">
        <v>23463</v>
      </c>
      <c r="T31" s="33">
        <v>27954</v>
      </c>
      <c r="U31" s="211">
        <v>21403</v>
      </c>
      <c r="V31" s="33">
        <v>17507</v>
      </c>
      <c r="W31" s="33">
        <v>783</v>
      </c>
      <c r="X31" s="33">
        <v>2517</v>
      </c>
      <c r="Y31" s="33">
        <f>'Annual Operational Data'!L31-SUM('Interim Operational Data'!V31:X31)</f>
        <v>2432</v>
      </c>
      <c r="Z31" s="33">
        <v>1831</v>
      </c>
      <c r="AA31" s="33">
        <v>1687</v>
      </c>
      <c r="AB31" s="33">
        <v>7915</v>
      </c>
      <c r="AD31" s="267">
        <f>AB31/T31-1</f>
        <v>-0.71685626386205903</v>
      </c>
    </row>
    <row r="32" spans="1:30" x14ac:dyDescent="0.3">
      <c r="A32" s="85" t="s">
        <v>0</v>
      </c>
      <c r="B32" s="2"/>
      <c r="C32" s="2" t="str">
        <f ca="1">IFERROR(IF(Inputs!$E$14 = "Semi-annual",('Interim Operational Data'!C31/OFFSET(C31,0,-2,,))-1,('Interim Operational Data'!C31/OFFSET('Interim Operational Data'!C31,0,-4,,))-1),"")</f>
        <v/>
      </c>
      <c r="D32" s="2" t="str">
        <f ca="1">IFERROR(IF(Inputs!$E$14 = "Semi-annual",('Interim Operational Data'!D31/OFFSET(D31,0,-2,,))-1,('Interim Operational Data'!D31/OFFSET('Interim Operational Data'!D31,0,-4,,))-1),"")</f>
        <v/>
      </c>
      <c r="E32" s="301" t="str">
        <f ca="1">IFERROR(IF(Inputs!$E$14 = "Semi-annual",('Interim Operational Data'!E31/OFFSET(E31,0,-2,,))-1,('Interim Operational Data'!E31/OFFSET('Interim Operational Data'!E31,0,-4,,))-1),"")</f>
        <v/>
      </c>
      <c r="F32" s="2">
        <f ca="1">IFERROR(IF(Inputs!$E$14 = "Semi-annual",('Interim Operational Data'!F31/OFFSET(F31,0,-2,,))-1,('Interim Operational Data'!F31/OFFSET('Interim Operational Data'!F31,0,-4,,))-1),"")</f>
        <v>7.7324764008837032E-2</v>
      </c>
      <c r="G32" s="2">
        <f ca="1">IFERROR(IF(Inputs!$E$14 = "Semi-annual",('Interim Operational Data'!G31/OFFSET(G31,0,-2,,))-1,('Interim Operational Data'!G31/OFFSET('Interim Operational Data'!G31,0,-4,,))-1),"")</f>
        <v>9.3380825170673809E-2</v>
      </c>
      <c r="H32" s="2">
        <f ca="1">IFERROR(IF(Inputs!$E$14 = "Semi-annual",('Interim Operational Data'!H31/OFFSET(H31,0,-2,,))-1,('Interim Operational Data'!H31/OFFSET('Interim Operational Data'!H31,0,-4,,))-1),"")</f>
        <v>0.1889355879190695</v>
      </c>
      <c r="I32" s="301">
        <f ca="1">IFERROR(IF(Inputs!$E$14 = "Semi-annual",('Interim Operational Data'!I31/OFFSET(I31,0,-2,,))-1,('Interim Operational Data'!I31/OFFSET('Interim Operational Data'!I31,0,-4,,))-1),"")</f>
        <v>0.15306189137964843</v>
      </c>
      <c r="J32" s="2">
        <f ca="1">IFERROR(IF(Inputs!$E$14 = "Semi-annual",('Interim Operational Data'!J31/OFFSET(J31,0,-2,,))-1,('Interim Operational Data'!J31/OFFSET('Interim Operational Data'!J31,0,-4,,))-1),"")</f>
        <v>0.13975888640318179</v>
      </c>
      <c r="K32" s="2">
        <f ca="1">IFERROR(IF(Inputs!$E$14 = "Semi-annual",('Interim Operational Data'!K31/OFFSET(K31,0,-2,,))-1,('Interim Operational Data'!K31/OFFSET('Interim Operational Data'!K31,0,-4,,))-1),"")</f>
        <v>0.13627972635465313</v>
      </c>
      <c r="L32" s="2">
        <f ca="1">IFERROR(IF(Inputs!$E$14 = "Semi-annual",('Interim Operational Data'!L31/OFFSET(L31,0,-2,,))-1,('Interim Operational Data'!L31/OFFSET('Interim Operational Data'!L31,0,-4,,))-1),"")</f>
        <v>8.8128904965471877E-2</v>
      </c>
      <c r="M32" s="301">
        <f ca="1">IFERROR(IF(Inputs!$E$14 = "Semi-annual",('Interim Operational Data'!M31/OFFSET(M31,0,-2,,))-1,('Interim Operational Data'!M31/OFFSET('Interim Operational Data'!M31,0,-4,,))-1),"")</f>
        <v>9.9359519356118531E-2</v>
      </c>
      <c r="N32" s="2">
        <f ca="1">IFERROR(IF(Inputs!$E$14 = "Semi-annual",('Interim Operational Data'!N31/OFFSET(N31,0,-2,,))-1,('Interim Operational Data'!N31/OFFSET('Interim Operational Data'!N31,0,-4,,))-1),"")</f>
        <v>0.11444305108772701</v>
      </c>
      <c r="O32" s="2">
        <f ca="1">IFERROR(IF(Inputs!$E$14 = "Semi-annual",('Interim Operational Data'!O31/OFFSET(O31,0,-2,,))-1,('Interim Operational Data'!O31/OFFSET('Interim Operational Data'!O31,0,-4,,))-1),"")</f>
        <v>8.2473241590214075E-2</v>
      </c>
      <c r="P32" s="2">
        <f ca="1">IFERROR(IF(Inputs!$E$14 = "Semi-annual",('Interim Operational Data'!P31/OFFSET(P31,0,-2,,))-1,('Interim Operational Data'!P31/OFFSET('Interim Operational Data'!P31,0,-4,,))-1),"")</f>
        <v>7.5287095799335235E-2</v>
      </c>
      <c r="Q32" s="301">
        <f ca="1">IFERROR(IF(Inputs!$E$14 = "Semi-annual",('Interim Operational Data'!Q31/OFFSET(Q31,0,-2,,))-1,('Interim Operational Data'!Q31/OFFSET('Interim Operational Data'!Q31,0,-4,,))-1),"")</f>
        <v>7.2437616003299565E-2</v>
      </c>
      <c r="R32" s="2">
        <f ca="1">IFERROR(IF(Inputs!$E$14 = "Semi-annual",('Interim Operational Data'!R31/OFFSET(R31,0,-2,,))-1,('Interim Operational Data'!R31/OFFSET('Interim Operational Data'!R31,0,-4,,))-1),"")</f>
        <v>4.1731898238747567E-2</v>
      </c>
      <c r="S32" s="2">
        <f ca="1">IFERROR(IF(Inputs!$E$14 = "Semi-annual",('Interim Operational Data'!S31/OFFSET(S31,0,-2,,))-1,('Interim Operational Data'!S31/OFFSET('Interim Operational Data'!S31,0,-4,,))-1),"")</f>
        <v>3.5711132691798264E-2</v>
      </c>
      <c r="T32" s="2">
        <f ca="1">IFERROR(IF(Inputs!$E$14 = "Semi-annual",('Interim Operational Data'!T31/OFFSET(T31,0,-2,,))-1,('Interim Operational Data'!T31/OFFSET('Interim Operational Data'!T31,0,-4,,))-1),"")</f>
        <v>-1.7951870718426188E-2</v>
      </c>
      <c r="U32" s="301">
        <f ca="1">IFERROR(IF(Inputs!$E$14 = "Semi-annual",('Interim Operational Data'!U31/OFFSET(U31,0,-2,,))-1,('Interim Operational Data'!U31/OFFSET('Interim Operational Data'!U31,0,-4,,))-1),"")</f>
        <v>2.8940916302100828E-2</v>
      </c>
      <c r="V32" s="2">
        <f ca="1">IFERROR(IF(Inputs!$E$14 = "Semi-annual",('Interim Operational Data'!V31/OFFSET(V31,0,-2,,))-1,('Interim Operational Data'!V31/OFFSET('Interim Operational Data'!V31,0,-4,,))-1),"")</f>
        <v>-0.17780491241252994</v>
      </c>
      <c r="W32" s="2">
        <f ca="1">IFERROR(IF(Inputs!$E$14 = "Semi-annual",('Interim Operational Data'!W31/OFFSET(W31,0,-2,,))-1,('Interim Operational Data'!W31/OFFSET('Interim Operational Data'!W31,0,-4,,))-1),"")</f>
        <v>-0.96662830840046032</v>
      </c>
      <c r="X32" s="2">
        <f ca="1">IFERROR(IF(Inputs!$E$14 = "Semi-annual",('Interim Operational Data'!X31/OFFSET(X31,0,-2,,))-1,('Interim Operational Data'!X31/OFFSET('Interim Operational Data'!X31,0,-4,,))-1),"")</f>
        <v>-0.90995921871646279</v>
      </c>
      <c r="Y32" s="2">
        <f ca="1">IFERROR(IF(Inputs!$E$14 = "Semi-annual",('Interim Operational Data'!Y31/OFFSET(Y31,0,-2,,))-1,('Interim Operational Data'!Y31/OFFSET('Interim Operational Data'!Y31,0,-4,,))-1),"")</f>
        <v>-0.88637106947624167</v>
      </c>
      <c r="Z32" s="2">
        <f ca="1">IFERROR(IF(Inputs!$E$14 = "Semi-annual",('Interim Operational Data'!Z31/OFFSET(Z31,0,-2,,))-1,('Interim Operational Data'!Z31/OFFSET('Interim Operational Data'!Z31,0,-4,,))-1),"")</f>
        <v>-0.89541326326612214</v>
      </c>
      <c r="AA32" s="2">
        <f ca="1">IFERROR(IF(Inputs!$E$14 = "Semi-annual",('Interim Operational Data'!AA31/OFFSET(AA31,0,-2,,))-1,('Interim Operational Data'!AA31/OFFSET('Interim Operational Data'!AA31,0,-4,,))-1),"")</f>
        <v>1.1545338441890167</v>
      </c>
      <c r="AB32" s="2">
        <f ca="1">IFERROR(IF(Inputs!$E$14 = "Semi-annual",('Interim Operational Data'!AB31/OFFSET(AB31,0,-2,,))-1,('Interim Operational Data'!AB31/OFFSET('Interim Operational Data'!AB31,0,-4,,))-1),"")</f>
        <v>2.144616607071911</v>
      </c>
      <c r="AD32" s="267"/>
    </row>
    <row r="33" spans="1:30" x14ac:dyDescent="0.3">
      <c r="A33" s="85" t="str">
        <f>IF(Inputs!$E$10 = "Miles", "ASMs", "ASKs")</f>
        <v>ASMs</v>
      </c>
      <c r="B33" s="33">
        <v>18335</v>
      </c>
      <c r="C33" s="33">
        <v>20132</v>
      </c>
      <c r="D33" s="33">
        <v>23535</v>
      </c>
      <c r="E33" s="211">
        <v>18869</v>
      </c>
      <c r="F33" s="33">
        <v>19833</v>
      </c>
      <c r="G33" s="33">
        <v>22344</v>
      </c>
      <c r="H33" s="33">
        <v>28458</v>
      </c>
      <c r="I33" s="211">
        <v>22091</v>
      </c>
      <c r="J33" s="33">
        <v>22894</v>
      </c>
      <c r="K33" s="33">
        <v>25357</v>
      </c>
      <c r="L33" s="33">
        <v>31050</v>
      </c>
      <c r="M33" s="211">
        <v>24191</v>
      </c>
      <c r="N33" s="33">
        <v>24862</v>
      </c>
      <c r="O33" s="33">
        <v>27269</v>
      </c>
      <c r="P33" s="33">
        <v>33137</v>
      </c>
      <c r="Q33" s="211">
        <v>25598</v>
      </c>
      <c r="R33" s="33">
        <v>26016</v>
      </c>
      <c r="S33" s="33">
        <v>27910</v>
      </c>
      <c r="T33" s="33">
        <v>32457</v>
      </c>
      <c r="U33" s="211">
        <v>26431</v>
      </c>
      <c r="V33" s="33">
        <v>23511</v>
      </c>
      <c r="W33" s="33">
        <v>2243</v>
      </c>
      <c r="X33" s="33">
        <v>5949</v>
      </c>
      <c r="Y33" s="33">
        <f>'Annual Operational Data'!L33-SUM('Interim Operational Data'!V33:X33)</f>
        <v>6000</v>
      </c>
      <c r="Z33" s="33">
        <v>4211</v>
      </c>
      <c r="AA33" s="33">
        <v>4000</v>
      </c>
      <c r="AB33" s="33">
        <v>11116</v>
      </c>
      <c r="AD33" s="267">
        <f>AB33/T33-1</f>
        <v>-0.65751609822226331</v>
      </c>
    </row>
    <row r="34" spans="1:30" x14ac:dyDescent="0.3">
      <c r="A34" s="85" t="s">
        <v>0</v>
      </c>
      <c r="B34" s="2"/>
      <c r="C34" s="2" t="str">
        <f ca="1">IFERROR(IF(Inputs!$E$14 = "Semi-annual",('Interim Operational Data'!C33/OFFSET(C33,0,-2,,))-1,('Interim Operational Data'!C33/OFFSET('Interim Operational Data'!C33,0,-4,,))-1),"")</f>
        <v/>
      </c>
      <c r="D34" s="2" t="str">
        <f ca="1">IFERROR(IF(Inputs!$E$14 = "Semi-annual",('Interim Operational Data'!D33/OFFSET(D33,0,-2,,))-1,('Interim Operational Data'!D33/OFFSET('Interim Operational Data'!D33,0,-4,,))-1),"")</f>
        <v/>
      </c>
      <c r="E34" s="301" t="str">
        <f ca="1">IFERROR(IF(Inputs!$E$14 = "Semi-annual",('Interim Operational Data'!E33/OFFSET(E33,0,-2,,))-1,('Interim Operational Data'!E33/OFFSET('Interim Operational Data'!E33,0,-4,,))-1),"")</f>
        <v/>
      </c>
      <c r="F34" s="2">
        <f ca="1">IFERROR(IF(Inputs!$E$14 = "Semi-annual",('Interim Operational Data'!F33/OFFSET(F33,0,-2,,))-1,('Interim Operational Data'!F33/OFFSET('Interim Operational Data'!F33,0,-4,,))-1),"")</f>
        <v>8.1701663485137743E-2</v>
      </c>
      <c r="G34" s="2">
        <f ca="1">IFERROR(IF(Inputs!$E$14 = "Semi-annual",('Interim Operational Data'!G33/OFFSET(G33,0,-2,,))-1,('Interim Operational Data'!G33/OFFSET('Interim Operational Data'!G33,0,-4,,))-1),"")</f>
        <v>0.10987482614742694</v>
      </c>
      <c r="H34" s="2">
        <f ca="1">IFERROR(IF(Inputs!$E$14 = "Semi-annual",('Interim Operational Data'!H33/OFFSET(H33,0,-2,,))-1,('Interim Operational Data'!H33/OFFSET('Interim Operational Data'!H33,0,-4,,))-1),"")</f>
        <v>0.20917782026768639</v>
      </c>
      <c r="I34" s="301">
        <f ca="1">IFERROR(IF(Inputs!$E$14 = "Semi-annual",('Interim Operational Data'!I33/OFFSET(I33,0,-2,,))-1,('Interim Operational Data'!I33/OFFSET('Interim Operational Data'!I33,0,-4,,))-1),"")</f>
        <v>0.17075626689278711</v>
      </c>
      <c r="J34" s="2">
        <f ca="1">IFERROR(IF(Inputs!$E$14 = "Semi-annual",('Interim Operational Data'!J33/OFFSET(J33,0,-2,,))-1,('Interim Operational Data'!J33/OFFSET('Interim Operational Data'!J33,0,-4,,))-1),"")</f>
        <v>0.1543387283819897</v>
      </c>
      <c r="K34" s="2">
        <f ca="1">IFERROR(IF(Inputs!$E$14 = "Semi-annual",('Interim Operational Data'!K33/OFFSET(K33,0,-2,,))-1,('Interim Operational Data'!K33/OFFSET('Interim Operational Data'!K33,0,-4,,))-1),"")</f>
        <v>0.13484604368063025</v>
      </c>
      <c r="L34" s="2">
        <f ca="1">IFERROR(IF(Inputs!$E$14 = "Semi-annual",('Interim Operational Data'!L33/OFFSET(L33,0,-2,,))-1,('Interim Operational Data'!L33/OFFSET('Interim Operational Data'!L33,0,-4,,))-1),"")</f>
        <v>9.1081593927893723E-2</v>
      </c>
      <c r="M34" s="301">
        <f ca="1">IFERROR(IF(Inputs!$E$14 = "Semi-annual",('Interim Operational Data'!M33/OFFSET(M33,0,-2,,))-1,('Interim Operational Data'!M33/OFFSET('Interim Operational Data'!M33,0,-4,,))-1),"")</f>
        <v>9.5061337196143292E-2</v>
      </c>
      <c r="N34" s="2">
        <f ca="1">IFERROR(IF(Inputs!$E$14 = "Semi-annual",('Interim Operational Data'!N33/OFFSET(N33,0,-2,,))-1,('Interim Operational Data'!N33/OFFSET('Interim Operational Data'!N33,0,-4,,))-1),"")</f>
        <v>8.5961387263038258E-2</v>
      </c>
      <c r="O34" s="2">
        <f ca="1">IFERROR(IF(Inputs!$E$14 = "Semi-annual",('Interim Operational Data'!O33/OFFSET(O33,0,-2,,))-1,('Interim Operational Data'!O33/OFFSET('Interim Operational Data'!O33,0,-4,,))-1),"")</f>
        <v>7.5403241708404067E-2</v>
      </c>
      <c r="P34" s="2">
        <f ca="1">IFERROR(IF(Inputs!$E$14 = "Semi-annual",('Interim Operational Data'!P33/OFFSET(P33,0,-2,,))-1,('Interim Operational Data'!P33/OFFSET('Interim Operational Data'!P33,0,-4,,))-1),"")</f>
        <v>6.721417069243163E-2</v>
      </c>
      <c r="Q34" s="301">
        <f ca="1">IFERROR(IF(Inputs!$E$14 = "Semi-annual",('Interim Operational Data'!Q33/OFFSET(Q33,0,-2,,))-1,('Interim Operational Data'!Q33/OFFSET('Interim Operational Data'!Q33,0,-4,,))-1),"")</f>
        <v>5.8162126410648662E-2</v>
      </c>
      <c r="R34" s="2">
        <f ca="1">IFERROR(IF(Inputs!$E$14 = "Semi-annual",('Interim Operational Data'!R33/OFFSET(R33,0,-2,,))-1,('Interim Operational Data'!R33/OFFSET('Interim Operational Data'!R33,0,-4,,))-1),"")</f>
        <v>4.6416217520714342E-2</v>
      </c>
      <c r="S34" s="2">
        <f ca="1">IFERROR(IF(Inputs!$E$14 = "Semi-annual",('Interim Operational Data'!S33/OFFSET(S33,0,-2,,))-1,('Interim Operational Data'!S33/OFFSET('Interim Operational Data'!S33,0,-4,,))-1),"")</f>
        <v>2.3506545894605546E-2</v>
      </c>
      <c r="T34" s="2">
        <f ca="1">IFERROR(IF(Inputs!$E$14 = "Semi-annual",('Interim Operational Data'!T33/OFFSET(T33,0,-2,,))-1,('Interim Operational Data'!T33/OFFSET('Interim Operational Data'!T33,0,-4,,))-1),"")</f>
        <v>-2.0520867912001695E-2</v>
      </c>
      <c r="U34" s="301">
        <f ca="1">IFERROR(IF(Inputs!$E$14 = "Semi-annual",('Interim Operational Data'!U33/OFFSET(U33,0,-2,,))-1,('Interim Operational Data'!U33/OFFSET('Interim Operational Data'!U33,0,-4,,))-1),"")</f>
        <v>3.2541604812875935E-2</v>
      </c>
      <c r="V34" s="2">
        <f ca="1">IFERROR(IF(Inputs!$E$14 = "Semi-annual",('Interim Operational Data'!V33/OFFSET(V33,0,-2,,))-1,('Interim Operational Data'!V33/OFFSET('Interim Operational Data'!V33,0,-4,,))-1),"")</f>
        <v>-9.628690036900367E-2</v>
      </c>
      <c r="W34" s="2">
        <f ca="1">IFERROR(IF(Inputs!$E$14 = "Semi-annual",('Interim Operational Data'!W33/OFFSET(W33,0,-2,,))-1,('Interim Operational Data'!W33/OFFSET('Interim Operational Data'!W33,0,-4,,))-1),"")</f>
        <v>-0.91963453959154429</v>
      </c>
      <c r="X34" s="2">
        <f ca="1">IFERROR(IF(Inputs!$E$14 = "Semi-annual",('Interim Operational Data'!X33/OFFSET(X33,0,-2,,))-1,('Interim Operational Data'!X33/OFFSET('Interim Operational Data'!X33,0,-4,,))-1),"")</f>
        <v>-0.81671134115907207</v>
      </c>
      <c r="Y34" s="2">
        <f ca="1">IFERROR(IF(Inputs!$E$14 = "Semi-annual",('Interim Operational Data'!Y33/OFFSET(Y33,0,-2,,))-1,('Interim Operational Data'!Y33/OFFSET('Interim Operational Data'!Y33,0,-4,,))-1),"")</f>
        <v>-0.77299383299912983</v>
      </c>
      <c r="Z34" s="2">
        <f ca="1">IFERROR(IF(Inputs!$E$14 = "Semi-annual",('Interim Operational Data'!Z33/OFFSET(Z33,0,-2,,))-1,('Interim Operational Data'!Z33/OFFSET('Interim Operational Data'!Z33,0,-4,,))-1),"")</f>
        <v>-0.82089234826251545</v>
      </c>
      <c r="AA34" s="2">
        <f ca="1">IFERROR(IF(Inputs!$E$14 = "Semi-annual",('Interim Operational Data'!AA33/OFFSET(AA33,0,-2,,))-1,('Interim Operational Data'!AA33/OFFSET('Interim Operational Data'!AA33,0,-4,,))-1),"")</f>
        <v>0.78332590280873826</v>
      </c>
      <c r="AB34" s="2">
        <f ca="1">IFERROR(IF(Inputs!$E$14 = "Semi-annual",('Interim Operational Data'!AB33/OFFSET(AB33,0,-2,,))-1,('Interim Operational Data'!AB33/OFFSET('Interim Operational Data'!AB33,0,-4,,))-1),"")</f>
        <v>0.86854933602286089</v>
      </c>
    </row>
    <row r="35" spans="1:30" x14ac:dyDescent="0.3">
      <c r="A35" s="85" t="s">
        <v>45</v>
      </c>
      <c r="B35" s="2">
        <f>IFERROR(B31/B33,"")</f>
        <v>0.81467139350968099</v>
      </c>
      <c r="C35" s="2">
        <f t="shared" ref="C35:M35" si="19">IFERROR(C31/C33,"")</f>
        <v>0.83672759785416251</v>
      </c>
      <c r="D35" s="2">
        <f t="shared" si="19"/>
        <v>0.86942851072870198</v>
      </c>
      <c r="E35" s="301">
        <f t="shared" si="19"/>
        <v>0.81090677831363611</v>
      </c>
      <c r="F35" s="2">
        <f t="shared" si="19"/>
        <v>0.81137498109211914</v>
      </c>
      <c r="G35" s="2">
        <f t="shared" si="19"/>
        <v>0.82429287504475479</v>
      </c>
      <c r="H35" s="2">
        <f t="shared" si="19"/>
        <v>0.85487384918124953</v>
      </c>
      <c r="I35" s="301">
        <f t="shared" si="19"/>
        <v>0.79865103435788332</v>
      </c>
      <c r="J35" s="2">
        <f t="shared" si="19"/>
        <v>0.80112693282082637</v>
      </c>
      <c r="K35" s="2">
        <f t="shared" si="19"/>
        <v>0.82533422723508298</v>
      </c>
      <c r="L35" s="2">
        <f t="shared" si="19"/>
        <v>0.85256038647342991</v>
      </c>
      <c r="M35" s="301">
        <f t="shared" si="19"/>
        <v>0.80178578810301349</v>
      </c>
      <c r="N35" s="2">
        <f t="shared" ref="N35:R35" si="20">IFERROR(N31/N33,"")</f>
        <v>0.82213820287989703</v>
      </c>
      <c r="O35" s="2">
        <f t="shared" si="20"/>
        <v>0.8307602038945322</v>
      </c>
      <c r="P35" s="2">
        <f t="shared" si="20"/>
        <v>0.85900956634577663</v>
      </c>
      <c r="Q35" s="301">
        <f t="shared" si="20"/>
        <v>0.81260254707399016</v>
      </c>
      <c r="R35" s="2">
        <f t="shared" si="20"/>
        <v>0.81845787207872078</v>
      </c>
      <c r="S35" s="2">
        <f t="shared" ref="S35:U35" si="21">IFERROR(S31/S33,"")</f>
        <v>0.84066642780365464</v>
      </c>
      <c r="T35" s="2">
        <f t="shared" si="21"/>
        <v>0.86126259358535906</v>
      </c>
      <c r="U35" s="301">
        <f t="shared" si="21"/>
        <v>0.80976883205327077</v>
      </c>
      <c r="V35" s="2">
        <f t="shared" ref="V35:W35" si="22">IFERROR(V31/V33,"")</f>
        <v>0.74463017311045898</v>
      </c>
      <c r="W35" s="2">
        <f t="shared" si="22"/>
        <v>0.34908604547481054</v>
      </c>
      <c r="X35" s="2">
        <f t="shared" ref="X35:Y35" si="23">IFERROR(X31/X33,"")</f>
        <v>0.42309631870902675</v>
      </c>
      <c r="Y35" s="2">
        <f t="shared" si="23"/>
        <v>0.40533333333333332</v>
      </c>
      <c r="Z35" s="2">
        <f t="shared" ref="Z35:AA35" si="24">IFERROR(Z31/Z33,"")</f>
        <v>0.43481358347185939</v>
      </c>
      <c r="AA35" s="2">
        <f t="shared" si="24"/>
        <v>0.42175000000000001</v>
      </c>
      <c r="AB35" s="2">
        <f t="shared" ref="AB35" si="25">IFERROR(AB31/AB33,"")</f>
        <v>0.71203670385030582</v>
      </c>
    </row>
    <row r="36" spans="1:30" x14ac:dyDescent="0.3">
      <c r="A36" s="8" t="s">
        <v>238</v>
      </c>
      <c r="B36" s="10"/>
      <c r="C36" s="10"/>
      <c r="D36" s="10"/>
      <c r="E36" s="208"/>
      <c r="F36" s="10"/>
      <c r="G36" s="10"/>
      <c r="H36" s="10"/>
      <c r="I36" s="208"/>
      <c r="J36" s="10"/>
      <c r="K36" s="10"/>
      <c r="L36" s="10"/>
      <c r="M36" s="208"/>
      <c r="N36" s="10"/>
      <c r="O36" s="10"/>
      <c r="P36" s="10"/>
      <c r="Q36" s="208"/>
      <c r="R36" s="10"/>
      <c r="S36" s="10"/>
      <c r="T36" s="10"/>
      <c r="U36" s="208"/>
      <c r="V36" s="10"/>
      <c r="W36" s="10"/>
      <c r="X36" s="10"/>
      <c r="Y36" s="10"/>
      <c r="Z36" s="10"/>
      <c r="AA36" s="10"/>
      <c r="AB36" s="10"/>
    </row>
    <row r="37" spans="1:30" x14ac:dyDescent="0.3">
      <c r="A37" s="85" t="str">
        <f>IF(Inputs!$E$10 = "Miles", "RFTMs", "RFKMs")</f>
        <v>RFTMs</v>
      </c>
      <c r="B37" s="33"/>
      <c r="C37" s="33"/>
      <c r="D37" s="33"/>
      <c r="E37" s="211"/>
      <c r="F37" s="33"/>
      <c r="G37" s="33"/>
      <c r="H37" s="33"/>
      <c r="I37" s="211"/>
      <c r="J37" s="33"/>
      <c r="K37" s="33"/>
      <c r="L37" s="33"/>
      <c r="M37" s="211"/>
      <c r="N37" s="33"/>
      <c r="O37" s="33"/>
      <c r="P37" s="33"/>
      <c r="Q37" s="211"/>
      <c r="R37" s="33"/>
      <c r="S37" s="33"/>
      <c r="T37" s="33"/>
      <c r="U37" s="211"/>
      <c r="V37" s="33"/>
      <c r="W37" s="33"/>
      <c r="X37" s="33"/>
      <c r="Y37" s="33"/>
      <c r="Z37" s="33"/>
      <c r="AA37" s="33"/>
      <c r="AB37" s="33"/>
    </row>
    <row r="38" spans="1:30" x14ac:dyDescent="0.3">
      <c r="A38" s="85" t="s">
        <v>0</v>
      </c>
      <c r="B38" s="2"/>
      <c r="C38" s="2" t="str">
        <f ca="1">IFERROR(IF(Inputs!$E$14 = "Semi-annual",('Interim Operational Data'!C37/OFFSET(C37,0,-2,,))-1,('Interim Operational Data'!C37/OFFSET('Interim Operational Data'!C37,0,-4,,))-1),"")</f>
        <v/>
      </c>
      <c r="D38" s="2" t="str">
        <f ca="1">IFERROR(IF(Inputs!$E$14 = "Semi-annual",('Interim Operational Data'!D37/OFFSET(D37,0,-2,,))-1,('Interim Operational Data'!D37/OFFSET('Interim Operational Data'!D37,0,-4,,))-1),"")</f>
        <v/>
      </c>
      <c r="E38" s="301" t="str">
        <f ca="1">IFERROR(IF(Inputs!$E$14 = "Semi-annual",('Interim Operational Data'!E37/OFFSET(E37,0,-2,,))-1,('Interim Operational Data'!E37/OFFSET('Interim Operational Data'!E37,0,-4,,))-1),"")</f>
        <v/>
      </c>
      <c r="F38" s="2" t="str">
        <f ca="1">IFERROR(IF(Inputs!$E$14 = "Semi-annual",('Interim Operational Data'!F37/OFFSET(F37,0,-2,,))-1,('Interim Operational Data'!F37/OFFSET('Interim Operational Data'!F37,0,-4,,))-1),"")</f>
        <v/>
      </c>
      <c r="G38" s="2" t="str">
        <f ca="1">IFERROR(IF(Inputs!$E$14 = "Semi-annual",('Interim Operational Data'!G37/OFFSET(G37,0,-2,,))-1,('Interim Operational Data'!G37/OFFSET('Interim Operational Data'!G37,0,-4,,))-1),"")</f>
        <v/>
      </c>
      <c r="H38" s="2" t="str">
        <f ca="1">IFERROR(IF(Inputs!$E$14 = "Semi-annual",('Interim Operational Data'!H37/OFFSET(H37,0,-2,,))-1,('Interim Operational Data'!H37/OFFSET('Interim Operational Data'!H37,0,-4,,))-1),"")</f>
        <v/>
      </c>
      <c r="I38" s="301" t="str">
        <f ca="1">IFERROR(IF(Inputs!$E$14 = "Semi-annual",('Interim Operational Data'!I37/OFFSET(I37,0,-2,,))-1,('Interim Operational Data'!I37/OFFSET('Interim Operational Data'!I37,0,-4,,))-1),"")</f>
        <v/>
      </c>
      <c r="J38" s="2" t="str">
        <f ca="1">IFERROR(IF(Inputs!$E$14 = "Semi-annual",('Interim Operational Data'!J37/OFFSET(J37,0,-2,,))-1,('Interim Operational Data'!J37/OFFSET('Interim Operational Data'!J37,0,-4,,))-1),"")</f>
        <v/>
      </c>
      <c r="K38" s="2" t="str">
        <f ca="1">IFERROR(IF(Inputs!$E$14 = "Semi-annual",('Interim Operational Data'!K37/OFFSET(K37,0,-2,,))-1,('Interim Operational Data'!K37/OFFSET('Interim Operational Data'!K37,0,-4,,))-1),"")</f>
        <v/>
      </c>
      <c r="L38" s="2" t="str">
        <f ca="1">IFERROR(IF(Inputs!$E$14 = "Semi-annual",('Interim Operational Data'!L37/OFFSET(L37,0,-2,,))-1,('Interim Operational Data'!L37/OFFSET('Interim Operational Data'!L37,0,-4,,))-1),"")</f>
        <v/>
      </c>
      <c r="M38" s="301" t="str">
        <f ca="1">IFERROR(IF(Inputs!$E$14 = "Semi-annual",('Interim Operational Data'!M37/OFFSET(M37,0,-2,,))-1,('Interim Operational Data'!M37/OFFSET('Interim Operational Data'!M37,0,-4,,))-1),"")</f>
        <v/>
      </c>
      <c r="N38" s="2" t="str">
        <f ca="1">IFERROR(IF(Inputs!$E$14 = "Semi-annual",('Interim Operational Data'!N37/OFFSET(N37,0,-2,,))-1,('Interim Operational Data'!N37/OFFSET('Interim Operational Data'!N37,0,-4,,))-1),"")</f>
        <v/>
      </c>
      <c r="O38" s="2" t="str">
        <f ca="1">IFERROR(IF(Inputs!$E$14 = "Semi-annual",('Interim Operational Data'!O37/OFFSET(O37,0,-2,,))-1,('Interim Operational Data'!O37/OFFSET('Interim Operational Data'!O37,0,-4,,))-1),"")</f>
        <v/>
      </c>
      <c r="P38" s="2" t="str">
        <f ca="1">IFERROR(IF(Inputs!$E$14 = "Semi-annual",('Interim Operational Data'!P37/OFFSET(P37,0,-2,,))-1,('Interim Operational Data'!P37/OFFSET('Interim Operational Data'!P37,0,-4,,))-1),"")</f>
        <v/>
      </c>
      <c r="Q38" s="301" t="str">
        <f ca="1">IFERROR(IF(Inputs!$E$14 = "Semi-annual",('Interim Operational Data'!Q37/OFFSET(Q37,0,-2,,))-1,('Interim Operational Data'!Q37/OFFSET('Interim Operational Data'!Q37,0,-4,,))-1),"")</f>
        <v/>
      </c>
      <c r="R38" s="2" t="str">
        <f ca="1">IFERROR(IF(Inputs!$E$14 = "Semi-annual",('Interim Operational Data'!R37/OFFSET(R37,0,-2,,))-1,('Interim Operational Data'!R37/OFFSET('Interim Operational Data'!R37,0,-4,,))-1),"")</f>
        <v/>
      </c>
      <c r="S38" s="2" t="str">
        <f ca="1">IFERROR(IF(Inputs!$E$14 = "Semi-annual",('Interim Operational Data'!S37/OFFSET(S37,0,-2,,))-1,('Interim Operational Data'!S37/OFFSET('Interim Operational Data'!S37,0,-4,,))-1),"")</f>
        <v/>
      </c>
      <c r="T38" s="2" t="str">
        <f ca="1">IFERROR(IF(Inputs!$E$14 = "Semi-annual",('Interim Operational Data'!T37/OFFSET(T37,0,-2,,))-1,('Interim Operational Data'!T37/OFFSET('Interim Operational Data'!T37,0,-4,,))-1),"")</f>
        <v/>
      </c>
      <c r="U38" s="301" t="str">
        <f ca="1">IFERROR(IF(Inputs!$E$14 = "Semi-annual",('Interim Operational Data'!U37/OFFSET(U37,0,-2,,))-1,('Interim Operational Data'!U37/OFFSET('Interim Operational Data'!U37,0,-4,,))-1),"")</f>
        <v/>
      </c>
      <c r="V38" s="2" t="str">
        <f ca="1">IFERROR(IF(Inputs!$E$14 = "Semi-annual",('Interim Operational Data'!V37/OFFSET(V37,0,-2,,))-1,('Interim Operational Data'!V37/OFFSET('Interim Operational Data'!V37,0,-4,,))-1),"")</f>
        <v/>
      </c>
      <c r="W38" s="2" t="str">
        <f ca="1">IFERROR(IF(Inputs!$E$14 = "Semi-annual",('Interim Operational Data'!W37/OFFSET(W37,0,-2,,))-1,('Interim Operational Data'!W37/OFFSET('Interim Operational Data'!W37,0,-4,,))-1),"")</f>
        <v/>
      </c>
      <c r="X38" s="2" t="str">
        <f ca="1">IFERROR(IF(Inputs!$E$14 = "Semi-annual",('Interim Operational Data'!X37/OFFSET(X37,0,-2,,))-1,('Interim Operational Data'!X37/OFFSET('Interim Operational Data'!X37,0,-4,,))-1),"")</f>
        <v/>
      </c>
      <c r="Y38" s="2" t="str">
        <f ca="1">IFERROR(IF(Inputs!$E$14 = "Semi-annual",('Interim Operational Data'!Y37/OFFSET(Y37,0,-2,,))-1,('Interim Operational Data'!Y37/OFFSET('Interim Operational Data'!Y37,0,-4,,))-1),"")</f>
        <v/>
      </c>
      <c r="Z38" s="2" t="str">
        <f ca="1">IFERROR(IF(Inputs!$E$14 = "Semi-annual",('Interim Operational Data'!Z37/OFFSET(Z37,0,-2,,))-1,('Interim Operational Data'!Z37/OFFSET('Interim Operational Data'!Z37,0,-4,,))-1),"")</f>
        <v/>
      </c>
      <c r="AA38" s="2" t="str">
        <f ca="1">IFERROR(IF(Inputs!$E$14 = "Semi-annual",('Interim Operational Data'!AA37/OFFSET(AA37,0,-2,,))-1,('Interim Operational Data'!AA37/OFFSET('Interim Operational Data'!AA37,0,-4,,))-1),"")</f>
        <v/>
      </c>
      <c r="AB38" s="2" t="str">
        <f ca="1">IFERROR(IF(Inputs!$E$14 = "Semi-annual",('Interim Operational Data'!AB37/OFFSET(AB37,0,-2,,))-1,('Interim Operational Data'!AB37/OFFSET('Interim Operational Data'!AB37,0,-4,,))-1),"")</f>
        <v/>
      </c>
    </row>
    <row r="39" spans="1:30" x14ac:dyDescent="0.3">
      <c r="A39" s="85" t="str">
        <f>IF(Inputs!$E$10 = "Miles", "AFTMs", "AFKMs")</f>
        <v>AFTMs</v>
      </c>
      <c r="B39" s="33"/>
      <c r="C39" s="33"/>
      <c r="D39" s="33"/>
      <c r="E39" s="211"/>
      <c r="F39" s="33"/>
      <c r="G39" s="33"/>
      <c r="H39" s="33"/>
      <c r="I39" s="211"/>
      <c r="J39" s="33"/>
      <c r="K39" s="33"/>
      <c r="L39" s="33"/>
      <c r="M39" s="211"/>
      <c r="N39" s="33"/>
      <c r="O39" s="33"/>
      <c r="P39" s="33"/>
      <c r="Q39" s="211"/>
      <c r="R39" s="33"/>
      <c r="S39" s="33"/>
      <c r="T39" s="33"/>
      <c r="U39" s="211"/>
      <c r="V39" s="33"/>
      <c r="W39" s="33"/>
      <c r="X39" s="33"/>
      <c r="Y39" s="33"/>
      <c r="Z39" s="33"/>
      <c r="AA39" s="33"/>
      <c r="AB39" s="33"/>
    </row>
    <row r="40" spans="1:30" x14ac:dyDescent="0.3">
      <c r="A40" s="85" t="s">
        <v>0</v>
      </c>
      <c r="B40" s="2"/>
      <c r="C40" s="2" t="str">
        <f ca="1">IFERROR(IF(Inputs!$E$14 = "Semi-annual",('Interim Operational Data'!C39/OFFSET(C39,0,-2,,))-1,('Interim Operational Data'!C39/OFFSET('Interim Operational Data'!C39,0,-4,,))-1),"")</f>
        <v/>
      </c>
      <c r="D40" s="2" t="str">
        <f ca="1">IFERROR(IF(Inputs!$E$14 = "Semi-annual",('Interim Operational Data'!D39/OFFSET(D39,0,-2,,))-1,('Interim Operational Data'!D39/OFFSET('Interim Operational Data'!D39,0,-4,,))-1),"")</f>
        <v/>
      </c>
      <c r="E40" s="301" t="str">
        <f ca="1">IFERROR(IF(Inputs!$E$14 = "Semi-annual",('Interim Operational Data'!E39/OFFSET(E39,0,-2,,))-1,('Interim Operational Data'!E39/OFFSET('Interim Operational Data'!E39,0,-4,,))-1),"")</f>
        <v/>
      </c>
      <c r="F40" s="2" t="str">
        <f ca="1">IFERROR(IF(Inputs!$E$14 = "Semi-annual",('Interim Operational Data'!F39/OFFSET(F39,0,-2,,))-1,('Interim Operational Data'!F39/OFFSET('Interim Operational Data'!F39,0,-4,,))-1),"")</f>
        <v/>
      </c>
      <c r="G40" s="2" t="str">
        <f ca="1">IFERROR(IF(Inputs!$E$14 = "Semi-annual",('Interim Operational Data'!G39/OFFSET(G39,0,-2,,))-1,('Interim Operational Data'!G39/OFFSET('Interim Operational Data'!G39,0,-4,,))-1),"")</f>
        <v/>
      </c>
      <c r="H40" s="2" t="str">
        <f ca="1">IFERROR(IF(Inputs!$E$14 = "Semi-annual",('Interim Operational Data'!H39/OFFSET(H39,0,-2,,))-1,('Interim Operational Data'!H39/OFFSET('Interim Operational Data'!H39,0,-4,,))-1),"")</f>
        <v/>
      </c>
      <c r="I40" s="301" t="str">
        <f ca="1">IFERROR(IF(Inputs!$E$14 = "Semi-annual",('Interim Operational Data'!I39/OFFSET(I39,0,-2,,))-1,('Interim Operational Data'!I39/OFFSET('Interim Operational Data'!I39,0,-4,,))-1),"")</f>
        <v/>
      </c>
      <c r="J40" s="2" t="str">
        <f ca="1">IFERROR(IF(Inputs!$E$14 = "Semi-annual",('Interim Operational Data'!J39/OFFSET(J39,0,-2,,))-1,('Interim Operational Data'!J39/OFFSET('Interim Operational Data'!J39,0,-4,,))-1),"")</f>
        <v/>
      </c>
      <c r="K40" s="2" t="str">
        <f ca="1">IFERROR(IF(Inputs!$E$14 = "Semi-annual",('Interim Operational Data'!K39/OFFSET(K39,0,-2,,))-1,('Interim Operational Data'!K39/OFFSET('Interim Operational Data'!K39,0,-4,,))-1),"")</f>
        <v/>
      </c>
      <c r="L40" s="2" t="str">
        <f ca="1">IFERROR(IF(Inputs!$E$14 = "Semi-annual",('Interim Operational Data'!L39/OFFSET(L39,0,-2,,))-1,('Interim Operational Data'!L39/OFFSET('Interim Operational Data'!L39,0,-4,,))-1),"")</f>
        <v/>
      </c>
      <c r="M40" s="301" t="str">
        <f ca="1">IFERROR(IF(Inputs!$E$14 = "Semi-annual",('Interim Operational Data'!M39/OFFSET(M39,0,-2,,))-1,('Interim Operational Data'!M39/OFFSET('Interim Operational Data'!M39,0,-4,,))-1),"")</f>
        <v/>
      </c>
      <c r="N40" s="2" t="str">
        <f ca="1">IFERROR(IF(Inputs!$E$14 = "Semi-annual",('Interim Operational Data'!N39/OFFSET(N39,0,-2,,))-1,('Interim Operational Data'!N39/OFFSET('Interim Operational Data'!N39,0,-4,,))-1),"")</f>
        <v/>
      </c>
      <c r="O40" s="2" t="str">
        <f ca="1">IFERROR(IF(Inputs!$E$14 = "Semi-annual",('Interim Operational Data'!O39/OFFSET(O39,0,-2,,))-1,('Interim Operational Data'!O39/OFFSET('Interim Operational Data'!O39,0,-4,,))-1),"")</f>
        <v/>
      </c>
      <c r="P40" s="2" t="str">
        <f ca="1">IFERROR(IF(Inputs!$E$14 = "Semi-annual",('Interim Operational Data'!P39/OFFSET(P39,0,-2,,))-1,('Interim Operational Data'!P39/OFFSET('Interim Operational Data'!P39,0,-4,,))-1),"")</f>
        <v/>
      </c>
      <c r="Q40" s="301" t="str">
        <f ca="1">IFERROR(IF(Inputs!$E$14 = "Semi-annual",('Interim Operational Data'!Q39/OFFSET(Q39,0,-2,,))-1,('Interim Operational Data'!Q39/OFFSET('Interim Operational Data'!Q39,0,-4,,))-1),"")</f>
        <v/>
      </c>
      <c r="R40" s="2" t="str">
        <f ca="1">IFERROR(IF(Inputs!$E$14 = "Semi-annual",('Interim Operational Data'!R39/OFFSET(R39,0,-2,,))-1,('Interim Operational Data'!R39/OFFSET('Interim Operational Data'!R39,0,-4,,))-1),"")</f>
        <v/>
      </c>
      <c r="S40" s="2" t="str">
        <f ca="1">IFERROR(IF(Inputs!$E$14 = "Semi-annual",('Interim Operational Data'!S39/OFFSET(S39,0,-2,,))-1,('Interim Operational Data'!S39/OFFSET('Interim Operational Data'!S39,0,-4,,))-1),"")</f>
        <v/>
      </c>
      <c r="T40" s="2" t="str">
        <f ca="1">IFERROR(IF(Inputs!$E$14 = "Semi-annual",('Interim Operational Data'!T39/OFFSET(T39,0,-2,,))-1,('Interim Operational Data'!T39/OFFSET('Interim Operational Data'!T39,0,-4,,))-1),"")</f>
        <v/>
      </c>
      <c r="U40" s="301" t="str">
        <f ca="1">IFERROR(IF(Inputs!$E$14 = "Semi-annual",('Interim Operational Data'!U39/OFFSET(U39,0,-2,,))-1,('Interim Operational Data'!U39/OFFSET('Interim Operational Data'!U39,0,-4,,))-1),"")</f>
        <v/>
      </c>
      <c r="V40" s="2" t="str">
        <f ca="1">IFERROR(IF(Inputs!$E$14 = "Semi-annual",('Interim Operational Data'!V39/OFFSET(V39,0,-2,,))-1,('Interim Operational Data'!V39/OFFSET('Interim Operational Data'!V39,0,-4,,))-1),"")</f>
        <v/>
      </c>
      <c r="W40" s="2" t="str">
        <f ca="1">IFERROR(IF(Inputs!$E$14 = "Semi-annual",('Interim Operational Data'!W39/OFFSET(W39,0,-2,,))-1,('Interim Operational Data'!W39/OFFSET('Interim Operational Data'!W39,0,-4,,))-1),"")</f>
        <v/>
      </c>
      <c r="X40" s="2" t="str">
        <f ca="1">IFERROR(IF(Inputs!$E$14 = "Semi-annual",('Interim Operational Data'!X39/OFFSET(X39,0,-2,,))-1,('Interim Operational Data'!X39/OFFSET('Interim Operational Data'!X39,0,-4,,))-1),"")</f>
        <v/>
      </c>
      <c r="Y40" s="2" t="str">
        <f ca="1">IFERROR(IF(Inputs!$E$14 = "Semi-annual",('Interim Operational Data'!Y39/OFFSET(Y39,0,-2,,))-1,('Interim Operational Data'!Y39/OFFSET('Interim Operational Data'!Y39,0,-4,,))-1),"")</f>
        <v/>
      </c>
      <c r="Z40" s="2" t="str">
        <f ca="1">IFERROR(IF(Inputs!$E$14 = "Semi-annual",('Interim Operational Data'!Z39/OFFSET(Z39,0,-2,,))-1,('Interim Operational Data'!Z39/OFFSET('Interim Operational Data'!Z39,0,-4,,))-1),"")</f>
        <v/>
      </c>
      <c r="AA40" s="2" t="str">
        <f ca="1">IFERROR(IF(Inputs!$E$14 = "Semi-annual",('Interim Operational Data'!AA39/OFFSET(AA39,0,-2,,))-1,('Interim Operational Data'!AA39/OFFSET('Interim Operational Data'!AA39,0,-4,,))-1),"")</f>
        <v/>
      </c>
      <c r="AB40" s="2" t="str">
        <f ca="1">IFERROR(IF(Inputs!$E$14 = "Semi-annual",('Interim Operational Data'!AB39/OFFSET(AB39,0,-2,,))-1,('Interim Operational Data'!AB39/OFFSET('Interim Operational Data'!AB39,0,-4,,))-1),"")</f>
        <v/>
      </c>
    </row>
    <row r="41" spans="1:30" x14ac:dyDescent="0.3">
      <c r="A41" s="85" t="s">
        <v>239</v>
      </c>
      <c r="B41" s="2" t="str">
        <f>IFERROR(B37/B39,"")</f>
        <v/>
      </c>
      <c r="C41" s="2" t="str">
        <f t="shared" ref="C41:M41" si="26">IFERROR(C37/C39,"")</f>
        <v/>
      </c>
      <c r="D41" s="2" t="str">
        <f t="shared" si="26"/>
        <v/>
      </c>
      <c r="E41" s="301" t="str">
        <f t="shared" si="26"/>
        <v/>
      </c>
      <c r="F41" s="2" t="str">
        <f t="shared" si="26"/>
        <v/>
      </c>
      <c r="G41" s="2" t="str">
        <f t="shared" si="26"/>
        <v/>
      </c>
      <c r="H41" s="2" t="str">
        <f t="shared" si="26"/>
        <v/>
      </c>
      <c r="I41" s="301" t="str">
        <f t="shared" si="26"/>
        <v/>
      </c>
      <c r="J41" s="2" t="str">
        <f t="shared" si="26"/>
        <v/>
      </c>
      <c r="K41" s="2" t="str">
        <f t="shared" si="26"/>
        <v/>
      </c>
      <c r="L41" s="2" t="str">
        <f t="shared" si="26"/>
        <v/>
      </c>
      <c r="M41" s="301" t="str">
        <f t="shared" si="26"/>
        <v/>
      </c>
      <c r="N41" s="2" t="str">
        <f t="shared" ref="N41:R41" si="27">IFERROR(N37/N39,"")</f>
        <v/>
      </c>
      <c r="O41" s="2" t="str">
        <f t="shared" si="27"/>
        <v/>
      </c>
      <c r="P41" s="2" t="str">
        <f t="shared" si="27"/>
        <v/>
      </c>
      <c r="Q41" s="301" t="str">
        <f t="shared" si="27"/>
        <v/>
      </c>
      <c r="R41" s="2" t="str">
        <f t="shared" si="27"/>
        <v/>
      </c>
      <c r="S41" s="2" t="str">
        <f t="shared" ref="S41:U41" si="28">IFERROR(S37/S39,"")</f>
        <v/>
      </c>
      <c r="T41" s="2" t="str">
        <f t="shared" si="28"/>
        <v/>
      </c>
      <c r="U41" s="301" t="str">
        <f t="shared" si="28"/>
        <v/>
      </c>
      <c r="V41" s="2" t="str">
        <f t="shared" ref="V41:W41" si="29">IFERROR(V37/V39,"")</f>
        <v/>
      </c>
      <c r="W41" s="2" t="str">
        <f t="shared" si="29"/>
        <v/>
      </c>
      <c r="X41" s="2" t="str">
        <f t="shared" ref="X41:Y41" si="30">IFERROR(X37/X39,"")</f>
        <v/>
      </c>
      <c r="Y41" s="2" t="str">
        <f t="shared" si="30"/>
        <v/>
      </c>
      <c r="Z41" s="2" t="str">
        <f t="shared" ref="Z41:AA41" si="31">IFERROR(Z37/Z39,"")</f>
        <v/>
      </c>
      <c r="AA41" s="2" t="str">
        <f t="shared" si="31"/>
        <v/>
      </c>
      <c r="AB41" s="2" t="str">
        <f t="shared" ref="AB41" si="32">IFERROR(AB37/AB39,"")</f>
        <v/>
      </c>
    </row>
    <row r="42" spans="1:30" x14ac:dyDescent="0.3">
      <c r="A42" s="8" t="s">
        <v>226</v>
      </c>
      <c r="B42" s="10"/>
      <c r="C42" s="10"/>
      <c r="D42" s="10"/>
      <c r="E42" s="208"/>
      <c r="F42" s="10"/>
      <c r="G42" s="10"/>
      <c r="H42" s="10"/>
      <c r="I42" s="208"/>
      <c r="J42" s="10"/>
      <c r="K42" s="10"/>
      <c r="L42" s="10"/>
      <c r="M42" s="208"/>
      <c r="N42" s="10"/>
      <c r="O42" s="10"/>
      <c r="P42" s="10"/>
      <c r="Q42" s="208"/>
      <c r="R42" s="10"/>
      <c r="S42" s="10"/>
      <c r="T42" s="10"/>
      <c r="U42" s="208"/>
      <c r="V42" s="10"/>
      <c r="W42" s="10"/>
      <c r="X42" s="10"/>
      <c r="Y42" s="10"/>
      <c r="Z42" s="10"/>
      <c r="AA42" s="10"/>
      <c r="AB42" s="10"/>
    </row>
    <row r="43" spans="1:30" x14ac:dyDescent="0.3">
      <c r="A43" s="85" t="str">
        <f>IF(Inputs!$E$10 = "Miles", "RTMs", "RTKs")</f>
        <v>RTMs</v>
      </c>
      <c r="B43" s="33"/>
      <c r="C43" s="33"/>
      <c r="D43" s="33"/>
      <c r="E43" s="211"/>
      <c r="F43" s="33"/>
      <c r="G43" s="33"/>
      <c r="H43" s="33"/>
      <c r="I43" s="211"/>
      <c r="J43" s="33"/>
      <c r="K43" s="33"/>
      <c r="L43" s="33"/>
      <c r="M43" s="211"/>
      <c r="N43" s="33"/>
      <c r="O43" s="33"/>
      <c r="P43" s="33"/>
      <c r="Q43" s="211"/>
      <c r="R43" s="33"/>
      <c r="S43" s="33"/>
      <c r="T43" s="33"/>
      <c r="U43" s="211"/>
      <c r="V43" s="33"/>
      <c r="W43" s="33"/>
      <c r="X43" s="33"/>
      <c r="Y43" s="33"/>
      <c r="Z43" s="33"/>
      <c r="AA43" s="33"/>
      <c r="AB43" s="33"/>
    </row>
    <row r="44" spans="1:30" x14ac:dyDescent="0.3">
      <c r="A44" s="85" t="s">
        <v>0</v>
      </c>
      <c r="B44" s="2"/>
      <c r="C44" s="2" t="str">
        <f ca="1">IFERROR(IF(Inputs!$E$14 = "Semi-annual",('Interim Operational Data'!C43/OFFSET(C43,0,-2,,))-1,('Interim Operational Data'!C43/OFFSET('Interim Operational Data'!C43,0,-4,,))-1),"")</f>
        <v/>
      </c>
      <c r="D44" s="2" t="str">
        <f ca="1">IFERROR(IF(Inputs!$E$14 = "Semi-annual",('Interim Operational Data'!D43/OFFSET(D43,0,-2,,))-1,('Interim Operational Data'!D43/OFFSET('Interim Operational Data'!D43,0,-4,,))-1),"")</f>
        <v/>
      </c>
      <c r="E44" s="301" t="str">
        <f ca="1">IFERROR(IF(Inputs!$E$14 = "Semi-annual",('Interim Operational Data'!E43/OFFSET(E43,0,-2,,))-1,('Interim Operational Data'!E43/OFFSET('Interim Operational Data'!E43,0,-4,,))-1),"")</f>
        <v/>
      </c>
      <c r="F44" s="2" t="str">
        <f ca="1">IFERROR(IF(Inputs!$E$14 = "Semi-annual",('Interim Operational Data'!F43/OFFSET(F43,0,-2,,))-1,('Interim Operational Data'!F43/OFFSET('Interim Operational Data'!F43,0,-4,,))-1),"")</f>
        <v/>
      </c>
      <c r="G44" s="2" t="str">
        <f ca="1">IFERROR(IF(Inputs!$E$14 = "Semi-annual",('Interim Operational Data'!G43/OFFSET(G43,0,-2,,))-1,('Interim Operational Data'!G43/OFFSET('Interim Operational Data'!G43,0,-4,,))-1),"")</f>
        <v/>
      </c>
      <c r="H44" s="2" t="str">
        <f ca="1">IFERROR(IF(Inputs!$E$14 = "Semi-annual",('Interim Operational Data'!H43/OFFSET(H43,0,-2,,))-1,('Interim Operational Data'!H43/OFFSET('Interim Operational Data'!H43,0,-4,,))-1),"")</f>
        <v/>
      </c>
      <c r="I44" s="301" t="str">
        <f ca="1">IFERROR(IF(Inputs!$E$14 = "Semi-annual",('Interim Operational Data'!I43/OFFSET(I43,0,-2,,))-1,('Interim Operational Data'!I43/OFFSET('Interim Operational Data'!I43,0,-4,,))-1),"")</f>
        <v/>
      </c>
      <c r="J44" s="2" t="str">
        <f ca="1">IFERROR(IF(Inputs!$E$14 = "Semi-annual",('Interim Operational Data'!J43/OFFSET(J43,0,-2,,))-1,('Interim Operational Data'!J43/OFFSET('Interim Operational Data'!J43,0,-4,,))-1),"")</f>
        <v/>
      </c>
      <c r="K44" s="2" t="str">
        <f ca="1">IFERROR(IF(Inputs!$E$14 = "Semi-annual",('Interim Operational Data'!K43/OFFSET(K43,0,-2,,))-1,('Interim Operational Data'!K43/OFFSET('Interim Operational Data'!K43,0,-4,,))-1),"")</f>
        <v/>
      </c>
      <c r="L44" s="2" t="str">
        <f ca="1">IFERROR(IF(Inputs!$E$14 = "Semi-annual",('Interim Operational Data'!L43/OFFSET(L43,0,-2,,))-1,('Interim Operational Data'!L43/OFFSET('Interim Operational Data'!L43,0,-4,,))-1),"")</f>
        <v/>
      </c>
      <c r="M44" s="301" t="str">
        <f ca="1">IFERROR(IF(Inputs!$E$14 = "Semi-annual",('Interim Operational Data'!M43/OFFSET(M43,0,-2,,))-1,('Interim Operational Data'!M43/OFFSET('Interim Operational Data'!M43,0,-4,,))-1),"")</f>
        <v/>
      </c>
      <c r="N44" s="2" t="str">
        <f ca="1">IFERROR(IF(Inputs!$E$14 = "Semi-annual",('Interim Operational Data'!N43/OFFSET(N43,0,-2,,))-1,('Interim Operational Data'!N43/OFFSET('Interim Operational Data'!N43,0,-4,,))-1),"")</f>
        <v/>
      </c>
      <c r="O44" s="2" t="str">
        <f ca="1">IFERROR(IF(Inputs!$E$14 = "Semi-annual",('Interim Operational Data'!O43/OFFSET(O43,0,-2,,))-1,('Interim Operational Data'!O43/OFFSET('Interim Operational Data'!O43,0,-4,,))-1),"")</f>
        <v/>
      </c>
      <c r="P44" s="2" t="str">
        <f ca="1">IFERROR(IF(Inputs!$E$14 = "Semi-annual",('Interim Operational Data'!P43/OFFSET(P43,0,-2,,))-1,('Interim Operational Data'!P43/OFFSET('Interim Operational Data'!P43,0,-4,,))-1),"")</f>
        <v/>
      </c>
      <c r="Q44" s="301" t="str">
        <f ca="1">IFERROR(IF(Inputs!$E$14 = "Semi-annual",('Interim Operational Data'!Q43/OFFSET(Q43,0,-2,,))-1,('Interim Operational Data'!Q43/OFFSET('Interim Operational Data'!Q43,0,-4,,))-1),"")</f>
        <v/>
      </c>
      <c r="R44" s="2" t="str">
        <f ca="1">IFERROR(IF(Inputs!$E$14 = "Semi-annual",('Interim Operational Data'!R43/OFFSET(R43,0,-2,,))-1,('Interim Operational Data'!R43/OFFSET('Interim Operational Data'!R43,0,-4,,))-1),"")</f>
        <v/>
      </c>
      <c r="S44" s="2" t="str">
        <f ca="1">IFERROR(IF(Inputs!$E$14 = "Semi-annual",('Interim Operational Data'!S43/OFFSET(S43,0,-2,,))-1,('Interim Operational Data'!S43/OFFSET('Interim Operational Data'!S43,0,-4,,))-1),"")</f>
        <v/>
      </c>
      <c r="T44" s="2" t="str">
        <f ca="1">IFERROR(IF(Inputs!$E$14 = "Semi-annual",('Interim Operational Data'!T43/OFFSET(T43,0,-2,,))-1,('Interim Operational Data'!T43/OFFSET('Interim Operational Data'!T43,0,-4,,))-1),"")</f>
        <v/>
      </c>
      <c r="U44" s="301" t="str">
        <f ca="1">IFERROR(IF(Inputs!$E$14 = "Semi-annual",('Interim Operational Data'!U43/OFFSET(U43,0,-2,,))-1,('Interim Operational Data'!U43/OFFSET('Interim Operational Data'!U43,0,-4,,))-1),"")</f>
        <v/>
      </c>
      <c r="V44" s="2" t="str">
        <f ca="1">IFERROR(IF(Inputs!$E$14 = "Semi-annual",('Interim Operational Data'!V43/OFFSET(V43,0,-2,,))-1,('Interim Operational Data'!V43/OFFSET('Interim Operational Data'!V43,0,-4,,))-1),"")</f>
        <v/>
      </c>
      <c r="W44" s="2" t="str">
        <f ca="1">IFERROR(IF(Inputs!$E$14 = "Semi-annual",('Interim Operational Data'!W43/OFFSET(W43,0,-2,,))-1,('Interim Operational Data'!W43/OFFSET('Interim Operational Data'!W43,0,-4,,))-1),"")</f>
        <v/>
      </c>
      <c r="X44" s="2" t="str">
        <f ca="1">IFERROR(IF(Inputs!$E$14 = "Semi-annual",('Interim Operational Data'!X43/OFFSET(X43,0,-2,,))-1,('Interim Operational Data'!X43/OFFSET('Interim Operational Data'!X43,0,-4,,))-1),"")</f>
        <v/>
      </c>
      <c r="Y44" s="2" t="str">
        <f ca="1">IFERROR(IF(Inputs!$E$14 = "Semi-annual",('Interim Operational Data'!Y43/OFFSET(Y43,0,-2,,))-1,('Interim Operational Data'!Y43/OFFSET('Interim Operational Data'!Y43,0,-4,,))-1),"")</f>
        <v/>
      </c>
      <c r="Z44" s="2" t="str">
        <f ca="1">IFERROR(IF(Inputs!$E$14 = "Semi-annual",('Interim Operational Data'!Z43/OFFSET(Z43,0,-2,,))-1,('Interim Operational Data'!Z43/OFFSET('Interim Operational Data'!Z43,0,-4,,))-1),"")</f>
        <v/>
      </c>
      <c r="AA44" s="2" t="str">
        <f ca="1">IFERROR(IF(Inputs!$E$14 = "Semi-annual",('Interim Operational Data'!AA43/OFFSET(AA43,0,-2,,))-1,('Interim Operational Data'!AA43/OFFSET('Interim Operational Data'!AA43,0,-4,,))-1),"")</f>
        <v/>
      </c>
      <c r="AB44" s="2" t="str">
        <f ca="1">IFERROR(IF(Inputs!$E$14 = "Semi-annual",('Interim Operational Data'!AB43/OFFSET(AB43,0,-2,,))-1,('Interim Operational Data'!AB43/OFFSET('Interim Operational Data'!AB43,0,-4,,))-1),"")</f>
        <v/>
      </c>
    </row>
    <row r="45" spans="1:30" x14ac:dyDescent="0.3">
      <c r="A45" s="85" t="str">
        <f>IF(Inputs!$E$10 = "Miles", "ATMs", "ATKs")</f>
        <v>ATMs</v>
      </c>
      <c r="B45" s="33"/>
      <c r="C45" s="33"/>
      <c r="D45" s="33"/>
      <c r="E45" s="211"/>
      <c r="F45" s="33"/>
      <c r="G45" s="33"/>
      <c r="H45" s="33"/>
      <c r="I45" s="211"/>
      <c r="J45" s="33"/>
      <c r="K45" s="33"/>
      <c r="L45" s="33"/>
      <c r="M45" s="211"/>
      <c r="N45" s="33"/>
      <c r="O45" s="33"/>
      <c r="P45" s="33"/>
      <c r="Q45" s="211"/>
      <c r="R45" s="33"/>
      <c r="S45" s="33"/>
      <c r="T45" s="33"/>
      <c r="U45" s="211"/>
      <c r="V45" s="33"/>
      <c r="W45" s="33"/>
      <c r="X45" s="33"/>
      <c r="Y45" s="33"/>
      <c r="Z45" s="33"/>
      <c r="AA45" s="33"/>
      <c r="AB45" s="33"/>
    </row>
    <row r="46" spans="1:30" x14ac:dyDescent="0.3">
      <c r="A46" s="85" t="s">
        <v>0</v>
      </c>
      <c r="B46" s="2"/>
      <c r="C46" s="2" t="str">
        <f ca="1">IFERROR(IF(Inputs!$E$14 = "Semi-annual",('Interim Operational Data'!C45/OFFSET(C45,0,-2,,))-1,('Interim Operational Data'!C45/OFFSET('Interim Operational Data'!C45,0,-4,,))-1),"")</f>
        <v/>
      </c>
      <c r="D46" s="2" t="str">
        <f ca="1">IFERROR(IF(Inputs!$E$14 = "Semi-annual",('Interim Operational Data'!D45/OFFSET(D45,0,-2,,))-1,('Interim Operational Data'!D45/OFFSET('Interim Operational Data'!D45,0,-4,,))-1),"")</f>
        <v/>
      </c>
      <c r="E46" s="301" t="str">
        <f ca="1">IFERROR(IF(Inputs!$E$14 = "Semi-annual",('Interim Operational Data'!E45/OFFSET(E45,0,-2,,))-1,('Interim Operational Data'!E45/OFFSET('Interim Operational Data'!E45,0,-4,,))-1),"")</f>
        <v/>
      </c>
      <c r="F46" s="2" t="str">
        <f ca="1">IFERROR(IF(Inputs!$E$14 = "Semi-annual",('Interim Operational Data'!F45/OFFSET(F45,0,-2,,))-1,('Interim Operational Data'!F45/OFFSET('Interim Operational Data'!F45,0,-4,,))-1),"")</f>
        <v/>
      </c>
      <c r="G46" s="2" t="str">
        <f ca="1">IFERROR(IF(Inputs!$E$14 = "Semi-annual",('Interim Operational Data'!G45/OFFSET(G45,0,-2,,))-1,('Interim Operational Data'!G45/OFFSET('Interim Operational Data'!G45,0,-4,,))-1),"")</f>
        <v/>
      </c>
      <c r="H46" s="2" t="str">
        <f ca="1">IFERROR(IF(Inputs!$E$14 = "Semi-annual",('Interim Operational Data'!H45/OFFSET(H45,0,-2,,))-1,('Interim Operational Data'!H45/OFFSET('Interim Operational Data'!H45,0,-4,,))-1),"")</f>
        <v/>
      </c>
      <c r="I46" s="301" t="str">
        <f ca="1">IFERROR(IF(Inputs!$E$14 = "Semi-annual",('Interim Operational Data'!I45/OFFSET(I45,0,-2,,))-1,('Interim Operational Data'!I45/OFFSET('Interim Operational Data'!I45,0,-4,,))-1),"")</f>
        <v/>
      </c>
      <c r="J46" s="2" t="str">
        <f ca="1">IFERROR(IF(Inputs!$E$14 = "Semi-annual",('Interim Operational Data'!J45/OFFSET(J45,0,-2,,))-1,('Interim Operational Data'!J45/OFFSET('Interim Operational Data'!J45,0,-4,,))-1),"")</f>
        <v/>
      </c>
      <c r="K46" s="2" t="str">
        <f ca="1">IFERROR(IF(Inputs!$E$14 = "Semi-annual",('Interim Operational Data'!K45/OFFSET(K45,0,-2,,))-1,('Interim Operational Data'!K45/OFFSET('Interim Operational Data'!K45,0,-4,,))-1),"")</f>
        <v/>
      </c>
      <c r="L46" s="2" t="str">
        <f ca="1">IFERROR(IF(Inputs!$E$14 = "Semi-annual",('Interim Operational Data'!L45/OFFSET(L45,0,-2,,))-1,('Interim Operational Data'!L45/OFFSET('Interim Operational Data'!L45,0,-4,,))-1),"")</f>
        <v/>
      </c>
      <c r="M46" s="301" t="str">
        <f ca="1">IFERROR(IF(Inputs!$E$14 = "Semi-annual",('Interim Operational Data'!M45/OFFSET(M45,0,-2,,))-1,('Interim Operational Data'!M45/OFFSET('Interim Operational Data'!M45,0,-4,,))-1),"")</f>
        <v/>
      </c>
      <c r="N46" s="2" t="str">
        <f ca="1">IFERROR(IF(Inputs!$E$14 = "Semi-annual",('Interim Operational Data'!N45/OFFSET(N45,0,-2,,))-1,('Interim Operational Data'!N45/OFFSET('Interim Operational Data'!N45,0,-4,,))-1),"")</f>
        <v/>
      </c>
      <c r="O46" s="2" t="str">
        <f ca="1">IFERROR(IF(Inputs!$E$14 = "Semi-annual",('Interim Operational Data'!O45/OFFSET(O45,0,-2,,))-1,('Interim Operational Data'!O45/OFFSET('Interim Operational Data'!O45,0,-4,,))-1),"")</f>
        <v/>
      </c>
      <c r="P46" s="2" t="str">
        <f ca="1">IFERROR(IF(Inputs!$E$14 = "Semi-annual",('Interim Operational Data'!P45/OFFSET(P45,0,-2,,))-1,('Interim Operational Data'!P45/OFFSET('Interim Operational Data'!P45,0,-4,,))-1),"")</f>
        <v/>
      </c>
      <c r="Q46" s="301" t="str">
        <f ca="1">IFERROR(IF(Inputs!$E$14 = "Semi-annual",('Interim Operational Data'!Q45/OFFSET(Q45,0,-2,,))-1,('Interim Operational Data'!Q45/OFFSET('Interim Operational Data'!Q45,0,-4,,))-1),"")</f>
        <v/>
      </c>
      <c r="R46" s="2" t="str">
        <f ca="1">IFERROR(IF(Inputs!$E$14 = "Semi-annual",('Interim Operational Data'!R45/OFFSET(R45,0,-2,,))-1,('Interim Operational Data'!R45/OFFSET('Interim Operational Data'!R45,0,-4,,))-1),"")</f>
        <v/>
      </c>
      <c r="S46" s="2" t="str">
        <f ca="1">IFERROR(IF(Inputs!$E$14 = "Semi-annual",('Interim Operational Data'!S45/OFFSET(S45,0,-2,,))-1,('Interim Operational Data'!S45/OFFSET('Interim Operational Data'!S45,0,-4,,))-1),"")</f>
        <v/>
      </c>
      <c r="T46" s="2" t="str">
        <f ca="1">IFERROR(IF(Inputs!$E$14 = "Semi-annual",('Interim Operational Data'!T45/OFFSET(T45,0,-2,,))-1,('Interim Operational Data'!T45/OFFSET('Interim Operational Data'!T45,0,-4,,))-1),"")</f>
        <v/>
      </c>
      <c r="U46" s="301" t="str">
        <f ca="1">IFERROR(IF(Inputs!$E$14 = "Semi-annual",('Interim Operational Data'!U45/OFFSET(U45,0,-2,,))-1,('Interim Operational Data'!U45/OFFSET('Interim Operational Data'!U45,0,-4,,))-1),"")</f>
        <v/>
      </c>
      <c r="V46" s="2" t="str">
        <f ca="1">IFERROR(IF(Inputs!$E$14 = "Semi-annual",('Interim Operational Data'!V45/OFFSET(V45,0,-2,,))-1,('Interim Operational Data'!V45/OFFSET('Interim Operational Data'!V45,0,-4,,))-1),"")</f>
        <v/>
      </c>
      <c r="W46" s="2" t="str">
        <f ca="1">IFERROR(IF(Inputs!$E$14 = "Semi-annual",('Interim Operational Data'!W45/OFFSET(W45,0,-2,,))-1,('Interim Operational Data'!W45/OFFSET('Interim Operational Data'!W45,0,-4,,))-1),"")</f>
        <v/>
      </c>
      <c r="X46" s="2" t="str">
        <f ca="1">IFERROR(IF(Inputs!$E$14 = "Semi-annual",('Interim Operational Data'!X45/OFFSET(X45,0,-2,,))-1,('Interim Operational Data'!X45/OFFSET('Interim Operational Data'!X45,0,-4,,))-1),"")</f>
        <v/>
      </c>
      <c r="Y46" s="2" t="str">
        <f ca="1">IFERROR(IF(Inputs!$E$14 = "Semi-annual",('Interim Operational Data'!Y45/OFFSET(Y45,0,-2,,))-1,('Interim Operational Data'!Y45/OFFSET('Interim Operational Data'!Y45,0,-4,,))-1),"")</f>
        <v/>
      </c>
      <c r="Z46" s="2" t="str">
        <f ca="1">IFERROR(IF(Inputs!$E$14 = "Semi-annual",('Interim Operational Data'!Z45/OFFSET(Z45,0,-2,,))-1,('Interim Operational Data'!Z45/OFFSET('Interim Operational Data'!Z45,0,-4,,))-1),"")</f>
        <v/>
      </c>
      <c r="AA46" s="2" t="str">
        <f ca="1">IFERROR(IF(Inputs!$E$14 = "Semi-annual",('Interim Operational Data'!AA45/OFFSET(AA45,0,-2,,))-1,('Interim Operational Data'!AA45/OFFSET('Interim Operational Data'!AA45,0,-4,,))-1),"")</f>
        <v/>
      </c>
      <c r="AB46" s="2" t="str">
        <f ca="1">IFERROR(IF(Inputs!$E$14 = "Semi-annual",('Interim Operational Data'!AB45/OFFSET(AB45,0,-2,,))-1,('Interim Operational Data'!AB45/OFFSET('Interim Operational Data'!AB45,0,-4,,))-1),"")</f>
        <v/>
      </c>
    </row>
    <row r="47" spans="1:30" x14ac:dyDescent="0.3">
      <c r="A47" s="85" t="s">
        <v>240</v>
      </c>
      <c r="B47" s="2" t="str">
        <f>IFERROR(B43/B45,"")</f>
        <v/>
      </c>
      <c r="C47" s="2" t="str">
        <f t="shared" ref="C47:M47" si="33">IFERROR(C43/C45,"")</f>
        <v/>
      </c>
      <c r="D47" s="2" t="str">
        <f t="shared" si="33"/>
        <v/>
      </c>
      <c r="E47" s="301" t="str">
        <f t="shared" si="33"/>
        <v/>
      </c>
      <c r="F47" s="2" t="str">
        <f t="shared" si="33"/>
        <v/>
      </c>
      <c r="G47" s="2" t="str">
        <f t="shared" si="33"/>
        <v/>
      </c>
      <c r="H47" s="2" t="str">
        <f t="shared" si="33"/>
        <v/>
      </c>
      <c r="I47" s="301" t="str">
        <f t="shared" si="33"/>
        <v/>
      </c>
      <c r="J47" s="2" t="str">
        <f t="shared" si="33"/>
        <v/>
      </c>
      <c r="K47" s="2" t="str">
        <f t="shared" si="33"/>
        <v/>
      </c>
      <c r="L47" s="2" t="str">
        <f t="shared" si="33"/>
        <v/>
      </c>
      <c r="M47" s="301" t="str">
        <f t="shared" si="33"/>
        <v/>
      </c>
      <c r="N47" s="2" t="str">
        <f t="shared" ref="N47:R47" si="34">IFERROR(N43/N45,"")</f>
        <v/>
      </c>
      <c r="O47" s="2" t="str">
        <f t="shared" si="34"/>
        <v/>
      </c>
      <c r="P47" s="2" t="str">
        <f t="shared" si="34"/>
        <v/>
      </c>
      <c r="Q47" s="301" t="str">
        <f t="shared" si="34"/>
        <v/>
      </c>
      <c r="R47" s="2" t="str">
        <f t="shared" si="34"/>
        <v/>
      </c>
      <c r="S47" s="2" t="str">
        <f t="shared" ref="S47:U47" si="35">IFERROR(S43/S45,"")</f>
        <v/>
      </c>
      <c r="T47" s="2" t="str">
        <f t="shared" si="35"/>
        <v/>
      </c>
      <c r="U47" s="301" t="str">
        <f t="shared" si="35"/>
        <v/>
      </c>
      <c r="V47" s="2" t="str">
        <f t="shared" ref="V47:W47" si="36">IFERROR(V43/V45,"")</f>
        <v/>
      </c>
      <c r="W47" s="2" t="str">
        <f t="shared" si="36"/>
        <v/>
      </c>
      <c r="X47" s="2" t="str">
        <f t="shared" ref="X47:Y47" si="37">IFERROR(X43/X45,"")</f>
        <v/>
      </c>
      <c r="Y47" s="2" t="str">
        <f t="shared" si="37"/>
        <v/>
      </c>
      <c r="Z47" s="2" t="str">
        <f t="shared" ref="Z47:AA47" si="38">IFERROR(Z43/Z45,"")</f>
        <v/>
      </c>
      <c r="AA47" s="2" t="str">
        <f t="shared" si="38"/>
        <v/>
      </c>
      <c r="AB47" s="2" t="str">
        <f t="shared" ref="AB47" si="39">IFERROR(AB43/AB45,"")</f>
        <v/>
      </c>
    </row>
    <row r="48" spans="1:30" x14ac:dyDescent="0.3">
      <c r="A48" s="85" t="s">
        <v>241</v>
      </c>
      <c r="B48" s="2" t="str">
        <f>IFERROR(B37/B43,"")</f>
        <v/>
      </c>
      <c r="C48" s="2" t="str">
        <f t="shared" ref="C48:M48" si="40">IFERROR(C37/C43,"")</f>
        <v/>
      </c>
      <c r="D48" s="2" t="str">
        <f t="shared" si="40"/>
        <v/>
      </c>
      <c r="E48" s="301" t="str">
        <f t="shared" si="40"/>
        <v/>
      </c>
      <c r="F48" s="2" t="str">
        <f t="shared" si="40"/>
        <v/>
      </c>
      <c r="G48" s="2" t="str">
        <f t="shared" si="40"/>
        <v/>
      </c>
      <c r="H48" s="2" t="str">
        <f t="shared" si="40"/>
        <v/>
      </c>
      <c r="I48" s="301" t="str">
        <f t="shared" si="40"/>
        <v/>
      </c>
      <c r="J48" s="2" t="str">
        <f t="shared" si="40"/>
        <v/>
      </c>
      <c r="K48" s="2" t="str">
        <f t="shared" si="40"/>
        <v/>
      </c>
      <c r="L48" s="2" t="str">
        <f t="shared" si="40"/>
        <v/>
      </c>
      <c r="M48" s="301" t="str">
        <f t="shared" si="40"/>
        <v/>
      </c>
      <c r="N48" s="2" t="str">
        <f t="shared" ref="N48:R48" si="41">IFERROR(N37/N43,"")</f>
        <v/>
      </c>
      <c r="O48" s="2" t="str">
        <f t="shared" si="41"/>
        <v/>
      </c>
      <c r="P48" s="2" t="str">
        <f t="shared" si="41"/>
        <v/>
      </c>
      <c r="Q48" s="301" t="str">
        <f t="shared" si="41"/>
        <v/>
      </c>
      <c r="R48" s="2" t="str">
        <f t="shared" si="41"/>
        <v/>
      </c>
      <c r="S48" s="2" t="str">
        <f t="shared" ref="S48:U48" si="42">IFERROR(S37/S43,"")</f>
        <v/>
      </c>
      <c r="T48" s="2" t="str">
        <f t="shared" si="42"/>
        <v/>
      </c>
      <c r="U48" s="301" t="str">
        <f t="shared" si="42"/>
        <v/>
      </c>
      <c r="V48" s="2" t="str">
        <f t="shared" ref="V48:W48" si="43">IFERROR(V37/V43,"")</f>
        <v/>
      </c>
      <c r="W48" s="2" t="str">
        <f t="shared" si="43"/>
        <v/>
      </c>
      <c r="X48" s="2" t="str">
        <f t="shared" ref="X48:Y48" si="44">IFERROR(X37/X43,"")</f>
        <v/>
      </c>
      <c r="Y48" s="2" t="str">
        <f t="shared" si="44"/>
        <v/>
      </c>
      <c r="Z48" s="2" t="str">
        <f t="shared" ref="Z48:AA48" si="45">IFERROR(Z37/Z43,"")</f>
        <v/>
      </c>
      <c r="AA48" s="2" t="str">
        <f t="shared" si="45"/>
        <v/>
      </c>
      <c r="AB48" s="2" t="str">
        <f t="shared" ref="AB48" si="46">IFERROR(AB37/AB43,"")</f>
        <v/>
      </c>
    </row>
    <row r="49" spans="1:28" x14ac:dyDescent="0.3">
      <c r="A49" s="8" t="s">
        <v>242</v>
      </c>
      <c r="B49" s="10"/>
      <c r="C49" s="10"/>
      <c r="D49" s="10"/>
      <c r="E49" s="208"/>
      <c r="F49" s="10"/>
      <c r="G49" s="10"/>
      <c r="H49" s="10"/>
      <c r="I49" s="208"/>
      <c r="J49" s="10"/>
      <c r="K49" s="10"/>
      <c r="L49" s="10"/>
      <c r="M49" s="208"/>
      <c r="N49" s="10"/>
      <c r="O49" s="10"/>
      <c r="P49" s="10"/>
      <c r="Q49" s="208"/>
      <c r="R49" s="10"/>
      <c r="S49" s="10"/>
      <c r="T49" s="10"/>
      <c r="U49" s="208"/>
      <c r="V49" s="10"/>
      <c r="W49" s="10"/>
      <c r="X49" s="10"/>
      <c r="Y49" s="10"/>
      <c r="Z49" s="10"/>
      <c r="AA49" s="10"/>
      <c r="AB49" s="10"/>
    </row>
    <row r="50" spans="1:28" x14ac:dyDescent="0.3">
      <c r="A50" s="85" t="s">
        <v>243</v>
      </c>
      <c r="B50" s="12" t="str">
        <f t="shared" ref="B50:M50" si="47">IFERROR(B27*1000/B16,"N/A")</f>
        <v>N/A</v>
      </c>
      <c r="C50" s="12">
        <f t="shared" si="47"/>
        <v>414.96957403651118</v>
      </c>
      <c r="D50" s="12">
        <f t="shared" si="47"/>
        <v>470.80321285140565</v>
      </c>
      <c r="E50" s="212">
        <f t="shared" si="47"/>
        <v>386.66666666666669</v>
      </c>
      <c r="F50" s="12">
        <f t="shared" si="47"/>
        <v>394.33663366336634</v>
      </c>
      <c r="G50" s="12">
        <f t="shared" si="47"/>
        <v>421.20388349514565</v>
      </c>
      <c r="H50" s="12">
        <f t="shared" si="47"/>
        <v>506.73003802281369</v>
      </c>
      <c r="I50" s="212">
        <f t="shared" si="47"/>
        <v>406.79316888045543</v>
      </c>
      <c r="J50" s="12">
        <f t="shared" si="47"/>
        <v>411.45009416195859</v>
      </c>
      <c r="K50" s="12">
        <f t="shared" si="47"/>
        <v>434.91773308957954</v>
      </c>
      <c r="L50" s="12">
        <f t="shared" si="47"/>
        <v>498.85918003565064</v>
      </c>
      <c r="M50" s="212">
        <f t="shared" si="47"/>
        <v>399.78798586572441</v>
      </c>
      <c r="N50" s="12">
        <f t="shared" ref="N50:R50" si="48">IFERROR(N27*1000/N16,"N/A")</f>
        <v>407.48251748251749</v>
      </c>
      <c r="O50" s="12">
        <f t="shared" si="48"/>
        <v>425.63667232597624</v>
      </c>
      <c r="P50" s="12">
        <f t="shared" si="48"/>
        <v>491.89368770764122</v>
      </c>
      <c r="Q50" s="212">
        <f t="shared" si="48"/>
        <v>392.38879736408569</v>
      </c>
      <c r="R50" s="12">
        <f t="shared" si="48"/>
        <v>384.37699680511184</v>
      </c>
      <c r="S50" s="12">
        <f t="shared" ref="S50:U50" si="49">IFERROR(S27*1000/S16,"N/A")</f>
        <v>393.77300613496931</v>
      </c>
      <c r="T50" s="12">
        <f t="shared" si="49"/>
        <v>441.23680241327298</v>
      </c>
      <c r="U50" s="212">
        <f t="shared" si="49"/>
        <v>362.34586466165416</v>
      </c>
      <c r="V50" s="12">
        <f t="shared" ref="V50:W50" si="50">IFERROR(V27*1000/V16,"N/A")</f>
        <v>299.45701357466061</v>
      </c>
      <c r="W50" s="12">
        <f t="shared" si="50"/>
        <v>19.4331983805668</v>
      </c>
      <c r="X50" s="12">
        <f t="shared" ref="X50:Y50" si="51">IFERROR(X27*1000/X16,"N/A")</f>
        <v>102.85714285714286</v>
      </c>
      <c r="Y50" s="12">
        <f t="shared" si="51"/>
        <v>92.592592592592595</v>
      </c>
      <c r="Z50" s="12">
        <f t="shared" ref="Z50:AA50" si="52">IFERROR(Z27*1000/Z16,"N/A")</f>
        <v>62.793296089385478</v>
      </c>
      <c r="AA50" s="12">
        <f t="shared" si="52"/>
        <v>70.606060606060609</v>
      </c>
      <c r="AB50" s="12">
        <f t="shared" ref="AB50" si="53">IFERROR(AB27*1000/AB16,"N/A")</f>
        <v>268.09523809523807</v>
      </c>
    </row>
    <row r="51" spans="1:28" x14ac:dyDescent="0.3">
      <c r="A51" s="85" t="s">
        <v>0</v>
      </c>
      <c r="B51" s="2"/>
      <c r="C51" s="2" t="str">
        <f ca="1">IFERROR(IF(Inputs!$E$14 = "Semi-annual",('Interim Operational Data'!C50/OFFSET(C50,0,-2,,))-1,('Interim Operational Data'!C50/OFFSET('Interim Operational Data'!C50,0,-4,,))-1),"")</f>
        <v/>
      </c>
      <c r="D51" s="2" t="str">
        <f ca="1">IFERROR(IF(Inputs!$E$14 = "Semi-annual",('Interim Operational Data'!D50/OFFSET(D50,0,-2,,))-1,('Interim Operational Data'!D50/OFFSET('Interim Operational Data'!D50,0,-4,,))-1),"")</f>
        <v/>
      </c>
      <c r="E51" s="301" t="str">
        <f ca="1">IFERROR(IF(Inputs!$E$14 = "Semi-annual",('Interim Operational Data'!E50/OFFSET(E50,0,-2,,))-1,('Interim Operational Data'!E50/OFFSET('Interim Operational Data'!E50,0,-4,,))-1),"")</f>
        <v/>
      </c>
      <c r="F51" s="2" t="str">
        <f ca="1">IFERROR(IF(Inputs!$E$14 = "Semi-annual",('Interim Operational Data'!F50/OFFSET(F50,0,-2,,))-1,('Interim Operational Data'!F50/OFFSET('Interim Operational Data'!F50,0,-4,,))-1),"")</f>
        <v/>
      </c>
      <c r="G51" s="2">
        <f ca="1">IFERROR(IF(Inputs!$E$14 = "Semi-annual",('Interim Operational Data'!G50/OFFSET(G50,0,-2,,))-1,('Interim Operational Data'!G50/OFFSET('Interim Operational Data'!G50,0,-4,,))-1),"")</f>
        <v>1.5023533889465313E-2</v>
      </c>
      <c r="H51" s="2">
        <f ca="1">IFERROR(IF(Inputs!$E$14 = "Semi-annual",('Interim Operational Data'!H50/OFFSET(H50,0,-2,,))-1,('Interim Operational Data'!H50/OFFSET('Interim Operational Data'!H50,0,-4,,))-1),"")</f>
        <v>7.6309643160288321E-2</v>
      </c>
      <c r="I51" s="301">
        <f ca="1">IFERROR(IF(Inputs!$E$14 = "Semi-annual",('Interim Operational Data'!I50/OFFSET(I50,0,-2,,))-1,('Interim Operational Data'!I50/OFFSET('Interim Operational Data'!I50,0,-4,,))-1),"")</f>
        <v>5.2051298828764025E-2</v>
      </c>
      <c r="J51" s="2">
        <f ca="1">IFERROR(IF(Inputs!$E$14 = "Semi-annual",('Interim Operational Data'!J50/OFFSET(J50,0,-2,,))-1,('Interim Operational Data'!J50/OFFSET('Interim Operational Data'!J50,0,-4,,))-1),"")</f>
        <v>4.3398099587170336E-2</v>
      </c>
      <c r="K51" s="2">
        <f ca="1">IFERROR(IF(Inputs!$E$14 = "Semi-annual",('Interim Operational Data'!K50/OFFSET(K50,0,-2,,))-1,('Interim Operational Data'!K50/OFFSET('Interim Operational Data'!K50,0,-4,,))-1),"")</f>
        <v>3.2558696944188892E-2</v>
      </c>
      <c r="L51" s="2">
        <f ca="1">IFERROR(IF(Inputs!$E$14 = "Semi-annual",('Interim Operational Data'!L50/OFFSET(L50,0,-2,,))-1,('Interim Operational Data'!L50/OFFSET('Interim Operational Data'!L50,0,-4,,))-1),"")</f>
        <v>-1.5532645386237554E-2</v>
      </c>
      <c r="M51" s="301">
        <f ca="1">IFERROR(IF(Inputs!$E$14 = "Semi-annual",('Interim Operational Data'!M50/OFFSET(M50,0,-2,,))-1,('Interim Operational Data'!M50/OFFSET('Interim Operational Data'!M50,0,-4,,))-1),"")</f>
        <v>-1.722050307287637E-2</v>
      </c>
      <c r="N51" s="2">
        <f ca="1">IFERROR(IF(Inputs!$E$14 = "Semi-annual",('Interim Operational Data'!N50/OFFSET(N50,0,-2,,))-1,('Interim Operational Data'!N50/OFFSET('Interim Operational Data'!N50,0,-4,,))-1),"")</f>
        <v>-9.642911098421969E-3</v>
      </c>
      <c r="O51" s="2">
        <f ca="1">IFERROR(IF(Inputs!$E$14 = "Semi-annual",('Interim Operational Data'!O50/OFFSET(O50,0,-2,,))-1,('Interim Operational Data'!O50/OFFSET('Interim Operational Data'!O50,0,-4,,))-1),"")</f>
        <v>-2.1339807640567532E-2</v>
      </c>
      <c r="P51" s="2">
        <f ca="1">IFERROR(IF(Inputs!$E$14 = "Semi-annual",('Interim Operational Data'!P50/OFFSET(P50,0,-2,,))-1,('Interim Operational Data'!P50/OFFSET('Interim Operational Data'!P50,0,-4,,))-1),"")</f>
        <v>-1.3962842835750999E-2</v>
      </c>
      <c r="Q51" s="301">
        <f ca="1">IFERROR(IF(Inputs!$E$14 = "Semi-annual",('Interim Operational Data'!Q50/OFFSET(Q50,0,-2,,))-1,('Interim Operational Data'!Q50/OFFSET('Interim Operational Data'!Q50,0,-4,,))-1),"")</f>
        <v>-1.8507781032028991E-2</v>
      </c>
      <c r="R51" s="2">
        <f ca="1">IFERROR(IF(Inputs!$E$14 = "Semi-annual",('Interim Operational Data'!R50/OFFSET(R50,0,-2,,))-1,('Interim Operational Data'!R50/OFFSET('Interim Operational Data'!R50,0,-4,,))-1),"")</f>
        <v>-5.6703096908683803E-2</v>
      </c>
      <c r="S51" s="2">
        <f ca="1">IFERROR(IF(Inputs!$E$14 = "Semi-annual",('Interim Operational Data'!S50/OFFSET(S50,0,-2,,))-1,('Interim Operational Data'!S50/OFFSET('Interim Operational Data'!S50,0,-4,,))-1),"")</f>
        <v>-7.4861186224583487E-2</v>
      </c>
      <c r="T51" s="2">
        <f ca="1">IFERROR(IF(Inputs!$E$14 = "Semi-annual",('Interim Operational Data'!T50/OFFSET(T50,0,-2,,))-1,('Interim Operational Data'!T50/OFFSET('Interim Operational Data'!T50,0,-4,,))-1),"")</f>
        <v>-0.10298340182091614</v>
      </c>
      <c r="U51" s="301">
        <f ca="1">IFERROR(IF(Inputs!$E$14 = "Semi-annual",('Interim Operational Data'!U50/OFFSET(U50,0,-2,,))-1,('Interim Operational Data'!U50/OFFSET('Interim Operational Data'!U50,0,-4,,))-1),"")</f>
        <v>-7.6564195777881983E-2</v>
      </c>
      <c r="V51" s="2">
        <f ca="1">IFERROR(IF(Inputs!$E$14 = "Semi-annual",('Interim Operational Data'!V50/OFFSET(V50,0,-2,,))-1,('Interim Operational Data'!V50/OFFSET('Interim Operational Data'!V50,0,-4,,))-1),"")</f>
        <v>-0.22092888996036264</v>
      </c>
      <c r="W51" s="2">
        <f ca="1">IFERROR(IF(Inputs!$E$14 = "Semi-annual",('Interim Operational Data'!W50/OFFSET(W50,0,-2,,))-1,('Interim Operational Data'!W50/OFFSET('Interim Operational Data'!W50,0,-4,,))-1),"")</f>
        <v>-0.95064872889253893</v>
      </c>
      <c r="X51" s="2">
        <f ca="1">IFERROR(IF(Inputs!$E$14 = "Semi-annual",('Interim Operational Data'!X50/OFFSET(X50,0,-2,,))-1,('Interim Operational Data'!X50/OFFSET('Interim Operational Data'!X50,0,-4,,))-1),"")</f>
        <v>-0.76688902128158298</v>
      </c>
      <c r="Y51" s="2">
        <f ca="1">IFERROR(IF(Inputs!$E$14 = "Semi-annual",('Interim Operational Data'!Y50/OFFSET(Y50,0,-2,,))-1,('Interim Operational Data'!Y50/OFFSET('Interim Operational Data'!Y50,0,-4,,))-1),"")</f>
        <v>-0.74446350400865668</v>
      </c>
      <c r="Z51" s="2">
        <f ca="1">IFERROR(IF(Inputs!$E$14 = "Semi-annual",('Interim Operational Data'!Z50/OFFSET(Z50,0,-2,,))-1,('Interim Operational Data'!Z50/OFFSET('Interim Operational Data'!Z50,0,-4,,))-1),"")</f>
        <v>-0.7903094826873045</v>
      </c>
      <c r="AA51" s="2">
        <f ca="1">IFERROR(IF(Inputs!$E$14 = "Semi-annual",('Interim Operational Data'!AA50/OFFSET(AA50,0,-2,,))-1,('Interim Operational Data'!AA50/OFFSET('Interim Operational Data'!AA50,0,-4,,))-1),"")</f>
        <v>2.6332702020202023</v>
      </c>
      <c r="AB51" s="2">
        <f ca="1">IFERROR(IF(Inputs!$E$14 = "Semi-annual",('Interim Operational Data'!AB50/OFFSET(AB50,0,-2,,))-1,('Interim Operational Data'!AB50/OFFSET('Interim Operational Data'!AB50,0,-4,,))-1),"")</f>
        <v>1.606481481481481</v>
      </c>
    </row>
    <row r="52" spans="1:28" x14ac:dyDescent="0.3">
      <c r="A52" s="85" t="s">
        <v>244</v>
      </c>
      <c r="B52" s="5" t="str">
        <f t="shared" ref="B52:R52" si="54">IFERROR(B9/B16,"N/A")</f>
        <v>N/A</v>
      </c>
      <c r="C52" s="5">
        <f t="shared" si="54"/>
        <v>0</v>
      </c>
      <c r="D52" s="5">
        <f t="shared" si="54"/>
        <v>0</v>
      </c>
      <c r="E52" s="213">
        <f t="shared" si="54"/>
        <v>0</v>
      </c>
      <c r="F52" s="5">
        <f t="shared" si="54"/>
        <v>0</v>
      </c>
      <c r="G52" s="5">
        <f t="shared" si="54"/>
        <v>0</v>
      </c>
      <c r="H52" s="5">
        <f t="shared" si="54"/>
        <v>0</v>
      </c>
      <c r="I52" s="213">
        <f t="shared" si="54"/>
        <v>0</v>
      </c>
      <c r="J52" s="5">
        <f t="shared" si="54"/>
        <v>0</v>
      </c>
      <c r="K52" s="5">
        <f t="shared" si="54"/>
        <v>0</v>
      </c>
      <c r="L52" s="5">
        <f t="shared" si="54"/>
        <v>0</v>
      </c>
      <c r="M52" s="213">
        <f t="shared" si="54"/>
        <v>0</v>
      </c>
      <c r="N52" s="5">
        <f t="shared" si="54"/>
        <v>0</v>
      </c>
      <c r="O52" s="5">
        <f t="shared" si="54"/>
        <v>0</v>
      </c>
      <c r="P52" s="5">
        <f t="shared" si="54"/>
        <v>0</v>
      </c>
      <c r="Q52" s="213">
        <f t="shared" si="54"/>
        <v>0</v>
      </c>
      <c r="R52" s="5">
        <f t="shared" si="54"/>
        <v>0</v>
      </c>
      <c r="S52" s="5">
        <f t="shared" ref="S52:U52" si="55">IFERROR(S9/S16,"N/A")</f>
        <v>0</v>
      </c>
      <c r="T52" s="5">
        <f t="shared" si="55"/>
        <v>0</v>
      </c>
      <c r="U52" s="213">
        <f t="shared" si="55"/>
        <v>0</v>
      </c>
      <c r="V52" s="5">
        <f t="shared" ref="V52:W52" si="56">IFERROR(V9/V16,"N/A")</f>
        <v>0</v>
      </c>
      <c r="W52" s="5">
        <f t="shared" si="56"/>
        <v>0</v>
      </c>
      <c r="X52" s="5">
        <f t="shared" ref="X52:Y52" si="57">IFERROR(X9/X16,"N/A")</f>
        <v>0</v>
      </c>
      <c r="Y52" s="5">
        <f t="shared" si="57"/>
        <v>0</v>
      </c>
      <c r="Z52" s="5">
        <f t="shared" ref="Z52:AA52" si="58">IFERROR(Z9/Z16,"N/A")</f>
        <v>0</v>
      </c>
      <c r="AA52" s="5">
        <f t="shared" si="58"/>
        <v>0</v>
      </c>
      <c r="AB52" s="5">
        <f t="shared" ref="AB52" si="59">IFERROR(AB9/AB16,"N/A")</f>
        <v>0</v>
      </c>
    </row>
    <row r="53" spans="1:28" x14ac:dyDescent="0.3">
      <c r="A53" s="85" t="s">
        <v>0</v>
      </c>
      <c r="B53" s="2"/>
      <c r="C53" s="2" t="str">
        <f ca="1">IFERROR(IF(Inputs!$E$14 = "Semi-annual",('Interim Operational Data'!C52/OFFSET(C52,0,-2,,))-1,('Interim Operational Data'!C52/OFFSET('Interim Operational Data'!C52,0,-4,,))-1),"")</f>
        <v/>
      </c>
      <c r="D53" s="2" t="str">
        <f ca="1">IFERROR(IF(Inputs!$E$14 = "Semi-annual",('Interim Operational Data'!D52/OFFSET(D52,0,-2,,))-1,('Interim Operational Data'!D52/OFFSET('Interim Operational Data'!D52,0,-4,,))-1),"")</f>
        <v/>
      </c>
      <c r="E53" s="301" t="str">
        <f ca="1">IFERROR(IF(Inputs!$E$14 = "Semi-annual",('Interim Operational Data'!E52/OFFSET(E52,0,-2,,))-1,('Interim Operational Data'!E52/OFFSET('Interim Operational Data'!E52,0,-4,,))-1),"")</f>
        <v/>
      </c>
      <c r="F53" s="2" t="str">
        <f ca="1">IFERROR(IF(Inputs!$E$14 = "Semi-annual",('Interim Operational Data'!F52/OFFSET(F52,0,-2,,))-1,('Interim Operational Data'!F52/OFFSET('Interim Operational Data'!F52,0,-4,,))-1),"")</f>
        <v/>
      </c>
      <c r="G53" s="2" t="str">
        <f ca="1">IFERROR(IF(Inputs!$E$14 = "Semi-annual",('Interim Operational Data'!G52/OFFSET(G52,0,-2,,))-1,('Interim Operational Data'!G52/OFFSET('Interim Operational Data'!G52,0,-4,,))-1),"")</f>
        <v/>
      </c>
      <c r="H53" s="2" t="str">
        <f ca="1">IFERROR(IF(Inputs!$E$14 = "Semi-annual",('Interim Operational Data'!H52/OFFSET(H52,0,-2,,))-1,('Interim Operational Data'!H52/OFFSET('Interim Operational Data'!H52,0,-4,,))-1),"")</f>
        <v/>
      </c>
      <c r="I53" s="301" t="str">
        <f ca="1">IFERROR(IF(Inputs!$E$14 = "Semi-annual",('Interim Operational Data'!I52/OFFSET(I52,0,-2,,))-1,('Interim Operational Data'!I52/OFFSET('Interim Operational Data'!I52,0,-4,,))-1),"")</f>
        <v/>
      </c>
      <c r="J53" s="2" t="str">
        <f ca="1">IFERROR(IF(Inputs!$E$14 = "Semi-annual",('Interim Operational Data'!J52/OFFSET(J52,0,-2,,))-1,('Interim Operational Data'!J52/OFFSET('Interim Operational Data'!J52,0,-4,,))-1),"")</f>
        <v/>
      </c>
      <c r="K53" s="2" t="str">
        <f ca="1">IFERROR(IF(Inputs!$E$14 = "Semi-annual",('Interim Operational Data'!K52/OFFSET(K52,0,-2,,))-1,('Interim Operational Data'!K52/OFFSET('Interim Operational Data'!K52,0,-4,,))-1),"")</f>
        <v/>
      </c>
      <c r="L53" s="2" t="str">
        <f ca="1">IFERROR(IF(Inputs!$E$14 = "Semi-annual",('Interim Operational Data'!L52/OFFSET(L52,0,-2,,))-1,('Interim Operational Data'!L52/OFFSET('Interim Operational Data'!L52,0,-4,,))-1),"")</f>
        <v/>
      </c>
      <c r="M53" s="301" t="str">
        <f ca="1">IFERROR(IF(Inputs!$E$14 = "Semi-annual",('Interim Operational Data'!M52/OFFSET(M52,0,-2,,))-1,('Interim Operational Data'!M52/OFFSET('Interim Operational Data'!M52,0,-4,,))-1),"")</f>
        <v/>
      </c>
      <c r="N53" s="2" t="str">
        <f ca="1">IFERROR(IF(Inputs!$E$14 = "Semi-annual",('Interim Operational Data'!N52/OFFSET(N52,0,-2,,))-1,('Interim Operational Data'!N52/OFFSET('Interim Operational Data'!N52,0,-4,,))-1),"")</f>
        <v/>
      </c>
      <c r="O53" s="2" t="str">
        <f ca="1">IFERROR(IF(Inputs!$E$14 = "Semi-annual",('Interim Operational Data'!O52/OFFSET(O52,0,-2,,))-1,('Interim Operational Data'!O52/OFFSET('Interim Operational Data'!O52,0,-4,,))-1),"")</f>
        <v/>
      </c>
      <c r="P53" s="2" t="str">
        <f ca="1">IFERROR(IF(Inputs!$E$14 = "Semi-annual",('Interim Operational Data'!P52/OFFSET(P52,0,-2,,))-1,('Interim Operational Data'!P52/OFFSET('Interim Operational Data'!P52,0,-4,,))-1),"")</f>
        <v/>
      </c>
      <c r="Q53" s="301" t="str">
        <f ca="1">IFERROR(IF(Inputs!$E$14 = "Semi-annual",('Interim Operational Data'!Q52/OFFSET(Q52,0,-2,,))-1,('Interim Operational Data'!Q52/OFFSET('Interim Operational Data'!Q52,0,-4,,))-1),"")</f>
        <v/>
      </c>
      <c r="R53" s="2" t="str">
        <f ca="1">IFERROR(IF(Inputs!$E$14 = "Semi-annual",('Interim Operational Data'!R52/OFFSET(R52,0,-2,,))-1,('Interim Operational Data'!R52/OFFSET('Interim Operational Data'!R52,0,-4,,))-1),"")</f>
        <v/>
      </c>
      <c r="S53" s="2" t="str">
        <f ca="1">IFERROR(IF(Inputs!$E$14 = "Semi-annual",('Interim Operational Data'!S52/OFFSET(S52,0,-2,,))-1,('Interim Operational Data'!S52/OFFSET('Interim Operational Data'!S52,0,-4,,))-1),"")</f>
        <v/>
      </c>
      <c r="T53" s="2" t="str">
        <f ca="1">IFERROR(IF(Inputs!$E$14 = "Semi-annual",('Interim Operational Data'!T52/OFFSET(T52,0,-2,,))-1,('Interim Operational Data'!T52/OFFSET('Interim Operational Data'!T52,0,-4,,))-1),"")</f>
        <v/>
      </c>
      <c r="U53" s="301" t="str">
        <f ca="1">IFERROR(IF(Inputs!$E$14 = "Semi-annual",('Interim Operational Data'!U52/OFFSET(U52,0,-2,,))-1,('Interim Operational Data'!U52/OFFSET('Interim Operational Data'!U52,0,-4,,))-1),"")</f>
        <v/>
      </c>
      <c r="V53" s="2" t="str">
        <f ca="1">IFERROR(IF(Inputs!$E$14 = "Semi-annual",('Interim Operational Data'!V52/OFFSET(V52,0,-2,,))-1,('Interim Operational Data'!V52/OFFSET('Interim Operational Data'!V52,0,-4,,))-1),"")</f>
        <v/>
      </c>
      <c r="W53" s="2" t="str">
        <f ca="1">IFERROR(IF(Inputs!$E$14 = "Semi-annual",('Interim Operational Data'!W52/OFFSET(W52,0,-2,,))-1,('Interim Operational Data'!W52/OFFSET('Interim Operational Data'!W52,0,-4,,))-1),"")</f>
        <v/>
      </c>
      <c r="X53" s="2" t="str">
        <f ca="1">IFERROR(IF(Inputs!$E$14 = "Semi-annual",('Interim Operational Data'!X52/OFFSET(X52,0,-2,,))-1,('Interim Operational Data'!X52/OFFSET('Interim Operational Data'!X52,0,-4,,))-1),"")</f>
        <v/>
      </c>
      <c r="Y53" s="2" t="str">
        <f ca="1">IFERROR(IF(Inputs!$E$14 = "Semi-annual",('Interim Operational Data'!Y52/OFFSET(Y52,0,-2,,))-1,('Interim Operational Data'!Y52/OFFSET('Interim Operational Data'!Y52,0,-4,,))-1),"")</f>
        <v/>
      </c>
      <c r="Z53" s="2" t="str">
        <f ca="1">IFERROR(IF(Inputs!$E$14 = "Semi-annual",('Interim Operational Data'!Z52/OFFSET(Z52,0,-2,,))-1,('Interim Operational Data'!Z52/OFFSET('Interim Operational Data'!Z52,0,-4,,))-1),"")</f>
        <v/>
      </c>
      <c r="AA53" s="2" t="str">
        <f ca="1">IFERROR(IF(Inputs!$E$14 = "Semi-annual",('Interim Operational Data'!AA52/OFFSET(AA52,0,-2,,))-1,('Interim Operational Data'!AA52/OFFSET('Interim Operational Data'!AA52,0,-4,,))-1),"")</f>
        <v/>
      </c>
      <c r="AB53" s="2" t="str">
        <f ca="1">IFERROR(IF(Inputs!$E$14 = "Semi-annual",('Interim Operational Data'!AB52/OFFSET(AB52,0,-2,,))-1,('Interim Operational Data'!AB52/OFFSET('Interim Operational Data'!AB52,0,-4,,))-1),"")</f>
        <v/>
      </c>
    </row>
    <row r="54" spans="1:28" x14ac:dyDescent="0.3">
      <c r="A54" s="85" t="s">
        <v>245</v>
      </c>
      <c r="B54" s="5" t="str">
        <f t="shared" ref="B54:M54" si="60">IFERROR(B22/B16,"N/A")</f>
        <v>N/A</v>
      </c>
      <c r="C54" s="5">
        <f t="shared" si="60"/>
        <v>0</v>
      </c>
      <c r="D54" s="5">
        <f t="shared" si="60"/>
        <v>0</v>
      </c>
      <c r="E54" s="213">
        <f t="shared" si="60"/>
        <v>0</v>
      </c>
      <c r="F54" s="5">
        <f t="shared" si="60"/>
        <v>0</v>
      </c>
      <c r="G54" s="5">
        <f t="shared" si="60"/>
        <v>0</v>
      </c>
      <c r="H54" s="5">
        <f t="shared" si="60"/>
        <v>0</v>
      </c>
      <c r="I54" s="213">
        <f t="shared" si="60"/>
        <v>0</v>
      </c>
      <c r="J54" s="5">
        <f t="shared" si="60"/>
        <v>0</v>
      </c>
      <c r="K54" s="5">
        <f t="shared" si="60"/>
        <v>0</v>
      </c>
      <c r="L54" s="5">
        <f t="shared" si="60"/>
        <v>0</v>
      </c>
      <c r="M54" s="213">
        <f t="shared" si="60"/>
        <v>0</v>
      </c>
      <c r="N54" s="5">
        <f t="shared" ref="N54:R54" si="61">IFERROR(N22/N16,"N/A")</f>
        <v>0</v>
      </c>
      <c r="O54" s="5">
        <f t="shared" si="61"/>
        <v>0</v>
      </c>
      <c r="P54" s="5">
        <f t="shared" si="61"/>
        <v>0</v>
      </c>
      <c r="Q54" s="213">
        <f t="shared" si="61"/>
        <v>0</v>
      </c>
      <c r="R54" s="5">
        <f t="shared" si="61"/>
        <v>0</v>
      </c>
      <c r="S54" s="5">
        <f t="shared" ref="S54:U54" si="62">IFERROR(S22/S16,"N/A")</f>
        <v>0</v>
      </c>
      <c r="T54" s="5">
        <f t="shared" si="62"/>
        <v>0</v>
      </c>
      <c r="U54" s="213">
        <f t="shared" si="62"/>
        <v>0</v>
      </c>
      <c r="V54" s="5">
        <f t="shared" ref="V54:W54" si="63">IFERROR(V22/V16,"N/A")</f>
        <v>0</v>
      </c>
      <c r="W54" s="5">
        <f t="shared" si="63"/>
        <v>0</v>
      </c>
      <c r="X54" s="5">
        <f t="shared" ref="X54:Y54" si="64">IFERROR(X22/X16,"N/A")</f>
        <v>0</v>
      </c>
      <c r="Y54" s="5">
        <f t="shared" si="64"/>
        <v>0</v>
      </c>
      <c r="Z54" s="5">
        <f t="shared" ref="Z54:AA54" si="65">IFERROR(Z22/Z16,"N/A")</f>
        <v>0</v>
      </c>
      <c r="AA54" s="5">
        <f t="shared" si="65"/>
        <v>0</v>
      </c>
      <c r="AB54" s="5">
        <f t="shared" ref="AB54" si="66">IFERROR(AB22/AB16,"N/A")</f>
        <v>0</v>
      </c>
    </row>
    <row r="55" spans="1:28" x14ac:dyDescent="0.3">
      <c r="A55" s="85" t="s">
        <v>0</v>
      </c>
      <c r="B55" s="2"/>
      <c r="C55" s="2" t="str">
        <f ca="1">IFERROR(IF(Inputs!$E$14 = "Semi-annual",('Interim Operational Data'!C54/OFFSET(C54,0,-2,,))-1,('Interim Operational Data'!C54/OFFSET('Interim Operational Data'!C54,0,-4,,))-1),"")</f>
        <v/>
      </c>
      <c r="D55" s="2" t="str">
        <f ca="1">IFERROR(IF(Inputs!$E$14 = "Semi-annual",('Interim Operational Data'!D54/OFFSET(D54,0,-2,,))-1,('Interim Operational Data'!D54/OFFSET('Interim Operational Data'!D54,0,-4,,))-1),"")</f>
        <v/>
      </c>
      <c r="E55" s="301" t="str">
        <f ca="1">IFERROR(IF(Inputs!$E$14 = "Semi-annual",('Interim Operational Data'!E54/OFFSET(E54,0,-2,,))-1,('Interim Operational Data'!E54/OFFSET('Interim Operational Data'!E54,0,-4,,))-1),"")</f>
        <v/>
      </c>
      <c r="F55" s="2" t="str">
        <f ca="1">IFERROR(IF(Inputs!$E$14 = "Semi-annual",('Interim Operational Data'!F54/OFFSET(F54,0,-2,,))-1,('Interim Operational Data'!F54/OFFSET('Interim Operational Data'!F54,0,-4,,))-1),"")</f>
        <v/>
      </c>
      <c r="G55" s="2" t="str">
        <f ca="1">IFERROR(IF(Inputs!$E$14 = "Semi-annual",('Interim Operational Data'!G54/OFFSET(G54,0,-2,,))-1,('Interim Operational Data'!G54/OFFSET('Interim Operational Data'!G54,0,-4,,))-1),"")</f>
        <v/>
      </c>
      <c r="H55" s="2" t="str">
        <f ca="1">IFERROR(IF(Inputs!$E$14 = "Semi-annual",('Interim Operational Data'!H54/OFFSET(H54,0,-2,,))-1,('Interim Operational Data'!H54/OFFSET('Interim Operational Data'!H54,0,-4,,))-1),"")</f>
        <v/>
      </c>
      <c r="I55" s="301" t="str">
        <f ca="1">IFERROR(IF(Inputs!$E$14 = "Semi-annual",('Interim Operational Data'!I54/OFFSET(I54,0,-2,,))-1,('Interim Operational Data'!I54/OFFSET('Interim Operational Data'!I54,0,-4,,))-1),"")</f>
        <v/>
      </c>
      <c r="J55" s="2" t="str">
        <f ca="1">IFERROR(IF(Inputs!$E$14 = "Semi-annual",('Interim Operational Data'!J54/OFFSET(J54,0,-2,,))-1,('Interim Operational Data'!J54/OFFSET('Interim Operational Data'!J54,0,-4,,))-1),"")</f>
        <v/>
      </c>
      <c r="K55" s="2" t="str">
        <f ca="1">IFERROR(IF(Inputs!$E$14 = "Semi-annual",('Interim Operational Data'!K54/OFFSET(K54,0,-2,,))-1,('Interim Operational Data'!K54/OFFSET('Interim Operational Data'!K54,0,-4,,))-1),"")</f>
        <v/>
      </c>
      <c r="L55" s="2" t="str">
        <f ca="1">IFERROR(IF(Inputs!$E$14 = "Semi-annual",('Interim Operational Data'!L54/OFFSET(L54,0,-2,,))-1,('Interim Operational Data'!L54/OFFSET('Interim Operational Data'!L54,0,-4,,))-1),"")</f>
        <v/>
      </c>
      <c r="M55" s="301" t="str">
        <f ca="1">IFERROR(IF(Inputs!$E$14 = "Semi-annual",('Interim Operational Data'!M54/OFFSET(M54,0,-2,,))-1,('Interim Operational Data'!M54/OFFSET('Interim Operational Data'!M54,0,-4,,))-1),"")</f>
        <v/>
      </c>
      <c r="N55" s="2" t="str">
        <f ca="1">IFERROR(IF(Inputs!$E$14 = "Semi-annual",('Interim Operational Data'!N54/OFFSET(N54,0,-2,,))-1,('Interim Operational Data'!N54/OFFSET('Interim Operational Data'!N54,0,-4,,))-1),"")</f>
        <v/>
      </c>
      <c r="O55" s="2" t="str">
        <f ca="1">IFERROR(IF(Inputs!$E$14 = "Semi-annual",('Interim Operational Data'!O54/OFFSET(O54,0,-2,,))-1,('Interim Operational Data'!O54/OFFSET('Interim Operational Data'!O54,0,-4,,))-1),"")</f>
        <v/>
      </c>
      <c r="P55" s="2" t="str">
        <f ca="1">IFERROR(IF(Inputs!$E$14 = "Semi-annual",('Interim Operational Data'!P54/OFFSET(P54,0,-2,,))-1,('Interim Operational Data'!P54/OFFSET('Interim Operational Data'!P54,0,-4,,))-1),"")</f>
        <v/>
      </c>
      <c r="Q55" s="301" t="str">
        <f ca="1">IFERROR(IF(Inputs!$E$14 = "Semi-annual",('Interim Operational Data'!Q54/OFFSET(Q54,0,-2,,))-1,('Interim Operational Data'!Q54/OFFSET('Interim Operational Data'!Q54,0,-4,,))-1),"")</f>
        <v/>
      </c>
      <c r="R55" s="2" t="str">
        <f ca="1">IFERROR(IF(Inputs!$E$14 = "Semi-annual",('Interim Operational Data'!R54/OFFSET(R54,0,-2,,))-1,('Interim Operational Data'!R54/OFFSET('Interim Operational Data'!R54,0,-4,,))-1),"")</f>
        <v/>
      </c>
      <c r="S55" s="2" t="str">
        <f ca="1">IFERROR(IF(Inputs!$E$14 = "Semi-annual",('Interim Operational Data'!S54/OFFSET(S54,0,-2,,))-1,('Interim Operational Data'!S54/OFFSET('Interim Operational Data'!S54,0,-4,,))-1),"")</f>
        <v/>
      </c>
      <c r="T55" s="2" t="str">
        <f ca="1">IFERROR(IF(Inputs!$E$14 = "Semi-annual",('Interim Operational Data'!T54/OFFSET(T54,0,-2,,))-1,('Interim Operational Data'!T54/OFFSET('Interim Operational Data'!T54,0,-4,,))-1),"")</f>
        <v/>
      </c>
      <c r="U55" s="301" t="str">
        <f ca="1">IFERROR(IF(Inputs!$E$14 = "Semi-annual",('Interim Operational Data'!U54/OFFSET(U54,0,-2,,))-1,('Interim Operational Data'!U54/OFFSET('Interim Operational Data'!U54,0,-4,,))-1),"")</f>
        <v/>
      </c>
      <c r="V55" s="2" t="str">
        <f ca="1">IFERROR(IF(Inputs!$E$14 = "Semi-annual",('Interim Operational Data'!V54/OFFSET(V54,0,-2,,))-1,('Interim Operational Data'!V54/OFFSET('Interim Operational Data'!V54,0,-4,,))-1),"")</f>
        <v/>
      </c>
      <c r="W55" s="2" t="str">
        <f ca="1">IFERROR(IF(Inputs!$E$14 = "Semi-annual",('Interim Operational Data'!W54/OFFSET(W54,0,-2,,))-1,('Interim Operational Data'!W54/OFFSET('Interim Operational Data'!W54,0,-4,,))-1),"")</f>
        <v/>
      </c>
      <c r="X55" s="2" t="str">
        <f ca="1">IFERROR(IF(Inputs!$E$14 = "Semi-annual",('Interim Operational Data'!X54/OFFSET(X54,0,-2,,))-1,('Interim Operational Data'!X54/OFFSET('Interim Operational Data'!X54,0,-4,,))-1),"")</f>
        <v/>
      </c>
      <c r="Y55" s="2" t="str">
        <f ca="1">IFERROR(IF(Inputs!$E$14 = "Semi-annual",('Interim Operational Data'!Y54/OFFSET(Y54,0,-2,,))-1,('Interim Operational Data'!Y54/OFFSET('Interim Operational Data'!Y54,0,-4,,))-1),"")</f>
        <v/>
      </c>
      <c r="Z55" s="2" t="str">
        <f ca="1">IFERROR(IF(Inputs!$E$14 = "Semi-annual",('Interim Operational Data'!Z54/OFFSET(Z54,0,-2,,))-1,('Interim Operational Data'!Z54/OFFSET('Interim Operational Data'!Z54,0,-4,,))-1),"")</f>
        <v/>
      </c>
      <c r="AA55" s="2" t="str">
        <f ca="1">IFERROR(IF(Inputs!$E$14 = "Semi-annual",('Interim Operational Data'!AA54/OFFSET(AA54,0,-2,,))-1,('Interim Operational Data'!AA54/OFFSET('Interim Operational Data'!AA54,0,-4,,))-1),"")</f>
        <v/>
      </c>
      <c r="AB55" s="2" t="str">
        <f ca="1">IFERROR(IF(Inputs!$E$14 = "Semi-annual",('Interim Operational Data'!AB54/OFFSET(AB54,0,-2,,))-1,('Interim Operational Data'!AB54/OFFSET('Interim Operational Data'!AB54,0,-4,,))-1),"")</f>
        <v/>
      </c>
    </row>
    <row r="56" spans="1:28" x14ac:dyDescent="0.3">
      <c r="A56" s="85" t="s">
        <v>419</v>
      </c>
      <c r="B56" s="4" t="str">
        <f t="shared" ref="B56:M56" si="67">IFERROR(B33/B16,"N/A")</f>
        <v>N/A</v>
      </c>
      <c r="C56" s="4">
        <f t="shared" si="67"/>
        <v>0.81671399594320482</v>
      </c>
      <c r="D56" s="4">
        <f t="shared" si="67"/>
        <v>0.94518072289156629</v>
      </c>
      <c r="E56" s="214">
        <f t="shared" si="67"/>
        <v>0.75325349301397204</v>
      </c>
      <c r="F56" s="4">
        <f t="shared" si="67"/>
        <v>0.7854653465346535</v>
      </c>
      <c r="G56" s="4">
        <f t="shared" si="67"/>
        <v>0.86772815533980585</v>
      </c>
      <c r="H56" s="4">
        <f t="shared" si="67"/>
        <v>1.0820532319391636</v>
      </c>
      <c r="I56" s="214">
        <f t="shared" si="67"/>
        <v>0.83836812144212525</v>
      </c>
      <c r="J56" s="4">
        <f t="shared" si="67"/>
        <v>0.86229755178907719</v>
      </c>
      <c r="K56" s="4">
        <f t="shared" si="67"/>
        <v>0.92712979890310787</v>
      </c>
      <c r="L56" s="4">
        <f t="shared" si="67"/>
        <v>1.106951871657754</v>
      </c>
      <c r="M56" s="214">
        <f t="shared" si="67"/>
        <v>0.8548056537102473</v>
      </c>
      <c r="N56" s="4">
        <f t="shared" ref="N56:R56" si="68">IFERROR(N33/N16,"N/A")</f>
        <v>0.86930069930069931</v>
      </c>
      <c r="O56" s="4">
        <f t="shared" si="68"/>
        <v>0.92594227504244486</v>
      </c>
      <c r="P56" s="4">
        <f t="shared" si="68"/>
        <v>1.1008970099667774</v>
      </c>
      <c r="Q56" s="214">
        <f t="shared" si="68"/>
        <v>0.84342668863261949</v>
      </c>
      <c r="R56" s="4">
        <f t="shared" si="68"/>
        <v>0.83118210862619812</v>
      </c>
      <c r="S56" s="4">
        <f t="shared" ref="S56:U56" si="69">IFERROR(S33/S16,"N/A")</f>
        <v>0.85613496932515343</v>
      </c>
      <c r="T56" s="4">
        <f t="shared" si="69"/>
        <v>0.97909502262443437</v>
      </c>
      <c r="U56" s="214">
        <f t="shared" si="69"/>
        <v>0.79491729323308269</v>
      </c>
      <c r="V56" s="4">
        <f t="shared" ref="V56:W56" si="70">IFERROR(V33/V16,"N/A")</f>
        <v>0.70923076923076922</v>
      </c>
      <c r="W56" s="4">
        <f t="shared" si="70"/>
        <v>9.0809716599190279E-2</v>
      </c>
      <c r="X56" s="4">
        <f t="shared" ref="X56:Y56" si="71">IFERROR(X33/X16,"N/A")</f>
        <v>0.35410714285714284</v>
      </c>
      <c r="Y56" s="4">
        <f t="shared" si="71"/>
        <v>0.34188034188034189</v>
      </c>
      <c r="Z56" s="4">
        <f t="shared" ref="Z56:AA56" si="72">IFERROR(Z33/Z16,"N/A")</f>
        <v>0.2352513966480447</v>
      </c>
      <c r="AA56" s="4">
        <f t="shared" si="72"/>
        <v>0.24242424242424243</v>
      </c>
      <c r="AB56" s="4">
        <f t="shared" ref="AB56" si="73">IFERROR(AB33/AB16,"N/A")</f>
        <v>0.5881481481481482</v>
      </c>
    </row>
    <row r="57" spans="1:28" x14ac:dyDescent="0.3">
      <c r="A57" s="85" t="s">
        <v>0</v>
      </c>
      <c r="B57" s="2"/>
      <c r="C57" s="2" t="str">
        <f ca="1">IFERROR(IF(Inputs!$E$14 = "Semi-annual",('Interim Operational Data'!C56/OFFSET(C56,0,-2,,))-1,('Interim Operational Data'!C56/OFFSET('Interim Operational Data'!C56,0,-4,,))-1),"")</f>
        <v/>
      </c>
      <c r="D57" s="2" t="str">
        <f ca="1">IFERROR(IF(Inputs!$E$14 = "Semi-annual",('Interim Operational Data'!D56/OFFSET(D56,0,-2,,))-1,('Interim Operational Data'!D56/OFFSET('Interim Operational Data'!D56,0,-4,,))-1),"")</f>
        <v/>
      </c>
      <c r="E57" s="301" t="str">
        <f ca="1">IFERROR(IF(Inputs!$E$14 = "Semi-annual",('Interim Operational Data'!E56/OFFSET(E56,0,-2,,))-1,('Interim Operational Data'!E56/OFFSET('Interim Operational Data'!E56,0,-4,,))-1),"")</f>
        <v/>
      </c>
      <c r="F57" s="2" t="str">
        <f ca="1">IFERROR(IF(Inputs!$E$14 = "Semi-annual",('Interim Operational Data'!F56/OFFSET(F56,0,-2,,))-1,('Interim Operational Data'!F56/OFFSET('Interim Operational Data'!F56,0,-4,,))-1),"")</f>
        <v/>
      </c>
      <c r="G57" s="2">
        <f ca="1">IFERROR(IF(Inputs!$E$14 = "Semi-annual",('Interim Operational Data'!G56/OFFSET(G56,0,-2,,))-1,('Interim Operational Data'!G56/OFFSET('Interim Operational Data'!G56,0,-4,,))-1),"")</f>
        <v>6.2462697651808785E-2</v>
      </c>
      <c r="H57" s="2">
        <f ca="1">IFERROR(IF(Inputs!$E$14 = "Semi-annual",('Interim Operational Data'!H56/OFFSET(H56,0,-2,,))-1,('Interim Operational Data'!H56/OFFSET('Interim Operational Data'!H56,0,-4,,))-1),"")</f>
        <v>0.14481094010134576</v>
      </c>
      <c r="I57" s="301">
        <f ca="1">IFERROR(IF(Inputs!$E$14 = "Semi-annual",('Interim Operational Data'!I56/OFFSET(I56,0,-2,,))-1,('Interim Operational Data'!I56/OFFSET('Interim Operational Data'!I56,0,-4,,))-1),"")</f>
        <v>0.11299599566088503</v>
      </c>
      <c r="J57" s="2">
        <f ca="1">IFERROR(IF(Inputs!$E$14 = "Semi-annual",('Interim Operational Data'!J56/OFFSET(J56,0,-2,,))-1,('Interim Operational Data'!J56/OFFSET('Interim Operational Data'!J56,0,-4,,))-1),"")</f>
        <v>9.7817434713568296E-2</v>
      </c>
      <c r="K57" s="2">
        <f ca="1">IFERROR(IF(Inputs!$E$14 = "Semi-annual",('Interim Operational Data'!K56/OFFSET(K56,0,-2,,))-1,('Interim Operational Data'!K56/OFFSET('Interim Operational Data'!K56,0,-4,,))-1),"")</f>
        <v>6.8456512788892976E-2</v>
      </c>
      <c r="L57" s="2">
        <f ca="1">IFERROR(IF(Inputs!$E$14 = "Semi-annual",('Interim Operational Data'!L56/OFFSET(L56,0,-2,,))-1,('Interim Operational Data'!L56/OFFSET('Interim Operational Data'!L56,0,-4,,))-1),"")</f>
        <v>2.3010549743443853E-2</v>
      </c>
      <c r="M57" s="301">
        <f ca="1">IFERROR(IF(Inputs!$E$14 = "Semi-annual",('Interim Operational Data'!M56/OFFSET(M56,0,-2,,))-1,('Interim Operational Data'!M56/OFFSET('Interim Operational Data'!M56,0,-4,,))-1),"")</f>
        <v>1.9606580746232227E-2</v>
      </c>
      <c r="N57" s="2">
        <f ca="1">IFERROR(IF(Inputs!$E$14 = "Semi-annual",('Interim Operational Data'!N56/OFFSET(N56,0,-2,,))-1,('Interim Operational Data'!N56/OFFSET('Interim Operational Data'!N56,0,-4,,))-1),"")</f>
        <v>8.1214976165617792E-3</v>
      </c>
      <c r="O57" s="2">
        <f ca="1">IFERROR(IF(Inputs!$E$14 = "Semi-annual",('Interim Operational Data'!O56/OFFSET(O56,0,-2,,))-1,('Interim Operational Data'!O56/OFFSET('Interim Operational Data'!O56,0,-4,,))-1),"")</f>
        <v>-1.2808604168131899E-3</v>
      </c>
      <c r="P57" s="2">
        <f ca="1">IFERROR(IF(Inputs!$E$14 = "Semi-annual",('Interim Operational Data'!P56/OFFSET(P56,0,-2,,))-1,('Interim Operational Data'!P56/OFFSET('Interim Operational Data'!P56,0,-4,,))-1),"")</f>
        <v>-5.469850899577855E-3</v>
      </c>
      <c r="Q57" s="301">
        <f ca="1">IFERROR(IF(Inputs!$E$14 = "Semi-annual",('Interim Operational Data'!Q56/OFFSET(Q56,0,-2,,))-1,('Interim Operational Data'!Q56/OFFSET('Interim Operational Data'!Q56,0,-4,,))-1),"")</f>
        <v>-1.3311756921866258E-2</v>
      </c>
      <c r="R57" s="2">
        <f ca="1">IFERROR(IF(Inputs!$E$14 = "Semi-annual",('Interim Operational Data'!R56/OFFSET(R56,0,-2,,))-1,('Interim Operational Data'!R56/OFFSET('Interim Operational Data'!R56,0,-4,,))-1),"")</f>
        <v>-4.3849718175960617E-2</v>
      </c>
      <c r="S57" s="2">
        <f ca="1">IFERROR(IF(Inputs!$E$14 = "Semi-annual",('Interim Operational Data'!S56/OFFSET(S56,0,-2,,))-1,('Interim Operational Data'!S56/OFFSET('Interim Operational Data'!S56,0,-4,,))-1),"")</f>
        <v>-7.5390559000118595E-2</v>
      </c>
      <c r="T57" s="2">
        <f ca="1">IFERROR(IF(Inputs!$E$14 = "Semi-annual",('Interim Operational Data'!T56/OFFSET(T56,0,-2,,))-1,('Interim Operational Data'!T56/OFFSET('Interim Operational Data'!T56,0,-4,,))-1),"")</f>
        <v>-0.11063885744046009</v>
      </c>
      <c r="U57" s="301">
        <f ca="1">IFERROR(IF(Inputs!$E$14 = "Semi-annual",('Interim Operational Data'!U56/OFFSET(U56,0,-2,,))-1,('Interim Operational Data'!U56/OFFSET('Interim Operational Data'!U56,0,-4,,))-1),"")</f>
        <v>-5.7514655456517794E-2</v>
      </c>
      <c r="V57" s="2">
        <f ca="1">IFERROR(IF(Inputs!$E$14 = "Semi-annual",('Interim Operational Data'!V56/OFFSET(V56,0,-2,,))-1,('Interim Operational Data'!V56/OFFSET('Interim Operational Data'!V56,0,-4,,))-1),"")</f>
        <v>-0.14672036143438361</v>
      </c>
      <c r="W57" s="2">
        <f ca="1">IFERROR(IF(Inputs!$E$14 = "Semi-annual",('Interim Operational Data'!W56/OFFSET(W56,0,-2,,))-1,('Interim Operational Data'!W56/OFFSET('Interim Operational Data'!W56,0,-4,,))-1),"")</f>
        <v>-0.89393060691029724</v>
      </c>
      <c r="X57" s="2">
        <f ca="1">IFERROR(IF(Inputs!$E$14 = "Semi-annual",('Interim Operational Data'!X56/OFFSET(X56,0,-2,,))-1,('Interim Operational Data'!X56/OFFSET('Interim Operational Data'!X56,0,-4,,))-1),"")</f>
        <v>-0.63833219996566881</v>
      </c>
      <c r="Y57" s="2">
        <f ca="1">IFERROR(IF(Inputs!$E$14 = "Semi-annual",('Interim Operational Data'!Y56/OFFSET(Y56,0,-2,,))-1,('Interim Operational Data'!Y56/OFFSET('Interim Operational Data'!Y56,0,-4,,))-1),"")</f>
        <v>-0.5699170910097473</v>
      </c>
      <c r="Z57" s="2">
        <f ca="1">IFERROR(IF(Inputs!$E$14 = "Semi-annual",('Interim Operational Data'!Z56/OFFSET(Z56,0,-2,,))-1,('Interim Operational Data'!Z56/OFFSET('Interim Operational Data'!Z56,0,-4,,))-1),"")</f>
        <v>-0.66830063379342941</v>
      </c>
      <c r="AA57" s="2">
        <f ca="1">IFERROR(IF(Inputs!$E$14 = "Semi-annual",('Interim Operational Data'!AA56/OFFSET(AA56,0,-2,,))-1,('Interim Operational Data'!AA56/OFFSET('Interim Operational Data'!AA56,0,-4,,))-1),"")</f>
        <v>1.6695848363258086</v>
      </c>
      <c r="AB57" s="2">
        <f ca="1">IFERROR(IF(Inputs!$E$14 = "Semi-annual",('Interim Operational Data'!AB56/OFFSET(AB56,0,-2,,))-1,('Interim Operational Data'!AB56/OFFSET('Interim Operational Data'!AB56,0,-4,,))-1),"")</f>
        <v>0.66093274313143224</v>
      </c>
    </row>
    <row r="58" spans="1:28" x14ac:dyDescent="0.3">
      <c r="A58" s="85" t="s">
        <v>246</v>
      </c>
      <c r="B58" s="4" t="str">
        <f t="shared" ref="B58:M58" si="74">IFERROR(B45/B16,"N/A")</f>
        <v>N/A</v>
      </c>
      <c r="C58" s="4">
        <f t="shared" si="74"/>
        <v>0</v>
      </c>
      <c r="D58" s="4">
        <f t="shared" si="74"/>
        <v>0</v>
      </c>
      <c r="E58" s="214">
        <f t="shared" si="74"/>
        <v>0</v>
      </c>
      <c r="F58" s="4">
        <f t="shared" si="74"/>
        <v>0</v>
      </c>
      <c r="G58" s="4">
        <f t="shared" si="74"/>
        <v>0</v>
      </c>
      <c r="H58" s="4">
        <f t="shared" si="74"/>
        <v>0</v>
      </c>
      <c r="I58" s="214">
        <f t="shared" si="74"/>
        <v>0</v>
      </c>
      <c r="J58" s="4">
        <f t="shared" si="74"/>
        <v>0</v>
      </c>
      <c r="K58" s="4">
        <f t="shared" si="74"/>
        <v>0</v>
      </c>
      <c r="L58" s="4">
        <f t="shared" si="74"/>
        <v>0</v>
      </c>
      <c r="M58" s="214">
        <f t="shared" si="74"/>
        <v>0</v>
      </c>
      <c r="N58" s="4">
        <f t="shared" ref="N58:R58" si="75">IFERROR(N45/N16,"N/A")</f>
        <v>0</v>
      </c>
      <c r="O58" s="4">
        <f t="shared" si="75"/>
        <v>0</v>
      </c>
      <c r="P58" s="4">
        <f t="shared" si="75"/>
        <v>0</v>
      </c>
      <c r="Q58" s="214">
        <f t="shared" si="75"/>
        <v>0</v>
      </c>
      <c r="R58" s="4">
        <f t="shared" si="75"/>
        <v>0</v>
      </c>
      <c r="S58" s="4">
        <f t="shared" ref="S58:U58" si="76">IFERROR(S45/S16,"N/A")</f>
        <v>0</v>
      </c>
      <c r="T58" s="4">
        <f t="shared" si="76"/>
        <v>0</v>
      </c>
      <c r="U58" s="214">
        <f t="shared" si="76"/>
        <v>0</v>
      </c>
      <c r="V58" s="4">
        <f t="shared" ref="V58:W58" si="77">IFERROR(V45/V16,"N/A")</f>
        <v>0</v>
      </c>
      <c r="W58" s="4">
        <f t="shared" si="77"/>
        <v>0</v>
      </c>
      <c r="X58" s="4">
        <f t="shared" ref="X58:Y58" si="78">IFERROR(X45/X16,"N/A")</f>
        <v>0</v>
      </c>
      <c r="Y58" s="4">
        <f t="shared" si="78"/>
        <v>0</v>
      </c>
      <c r="Z58" s="4">
        <f t="shared" ref="Z58:AA58" si="79">IFERROR(Z45/Z16,"N/A")</f>
        <v>0</v>
      </c>
      <c r="AA58" s="4">
        <f t="shared" si="79"/>
        <v>0</v>
      </c>
      <c r="AB58" s="4">
        <f t="shared" ref="AB58" si="80">IFERROR(AB45/AB16,"N/A")</f>
        <v>0</v>
      </c>
    </row>
    <row r="59" spans="1:28" x14ac:dyDescent="0.3">
      <c r="A59" s="85" t="s">
        <v>0</v>
      </c>
      <c r="B59" s="2"/>
      <c r="C59" s="2" t="str">
        <f ca="1">IFERROR(IF(Inputs!$E$14 = "Semi-annual",('Interim Operational Data'!C58/OFFSET(C58,0,-2,,))-1,('Interim Operational Data'!C58/OFFSET('Interim Operational Data'!C58,0,-4,,))-1),"")</f>
        <v/>
      </c>
      <c r="D59" s="2" t="str">
        <f ca="1">IFERROR(IF(Inputs!$E$14 = "Semi-annual",('Interim Operational Data'!D58/OFFSET(D58,0,-2,,))-1,('Interim Operational Data'!D58/OFFSET('Interim Operational Data'!D58,0,-4,,))-1),"")</f>
        <v/>
      </c>
      <c r="E59" s="301" t="str">
        <f ca="1">IFERROR(IF(Inputs!$E$14 = "Semi-annual",('Interim Operational Data'!E58/OFFSET(E58,0,-2,,))-1,('Interim Operational Data'!E58/OFFSET('Interim Operational Data'!E58,0,-4,,))-1),"")</f>
        <v/>
      </c>
      <c r="F59" s="2" t="str">
        <f ca="1">IFERROR(IF(Inputs!$E$14 = "Semi-annual",('Interim Operational Data'!F58/OFFSET(F58,0,-2,,))-1,('Interim Operational Data'!F58/OFFSET('Interim Operational Data'!F58,0,-4,,))-1),"")</f>
        <v/>
      </c>
      <c r="G59" s="2" t="str">
        <f ca="1">IFERROR(IF(Inputs!$E$14 = "Semi-annual",('Interim Operational Data'!G58/OFFSET(G58,0,-2,,))-1,('Interim Operational Data'!G58/OFFSET('Interim Operational Data'!G58,0,-4,,))-1),"")</f>
        <v/>
      </c>
      <c r="H59" s="2" t="str">
        <f ca="1">IFERROR(IF(Inputs!$E$14 = "Semi-annual",('Interim Operational Data'!H58/OFFSET(H58,0,-2,,))-1,('Interim Operational Data'!H58/OFFSET('Interim Operational Data'!H58,0,-4,,))-1),"")</f>
        <v/>
      </c>
      <c r="I59" s="301" t="str">
        <f ca="1">IFERROR(IF(Inputs!$E$14 = "Semi-annual",('Interim Operational Data'!I58/OFFSET(I58,0,-2,,))-1,('Interim Operational Data'!I58/OFFSET('Interim Operational Data'!I58,0,-4,,))-1),"")</f>
        <v/>
      </c>
      <c r="J59" s="2" t="str">
        <f ca="1">IFERROR(IF(Inputs!$E$14 = "Semi-annual",('Interim Operational Data'!J58/OFFSET(J58,0,-2,,))-1,('Interim Operational Data'!J58/OFFSET('Interim Operational Data'!J58,0,-4,,))-1),"")</f>
        <v/>
      </c>
      <c r="K59" s="2" t="str">
        <f ca="1">IFERROR(IF(Inputs!$E$14 = "Semi-annual",('Interim Operational Data'!K58/OFFSET(K58,0,-2,,))-1,('Interim Operational Data'!K58/OFFSET('Interim Operational Data'!K58,0,-4,,))-1),"")</f>
        <v/>
      </c>
      <c r="L59" s="2" t="str">
        <f ca="1">IFERROR(IF(Inputs!$E$14 = "Semi-annual",('Interim Operational Data'!L58/OFFSET(L58,0,-2,,))-1,('Interim Operational Data'!L58/OFFSET('Interim Operational Data'!L58,0,-4,,))-1),"")</f>
        <v/>
      </c>
      <c r="M59" s="301" t="str">
        <f ca="1">IFERROR(IF(Inputs!$E$14 = "Semi-annual",('Interim Operational Data'!M58/OFFSET(M58,0,-2,,))-1,('Interim Operational Data'!M58/OFFSET('Interim Operational Data'!M58,0,-4,,))-1),"")</f>
        <v/>
      </c>
      <c r="N59" s="2" t="str">
        <f ca="1">IFERROR(IF(Inputs!$E$14 = "Semi-annual",('Interim Operational Data'!N58/OFFSET(N58,0,-2,,))-1,('Interim Operational Data'!N58/OFFSET('Interim Operational Data'!N58,0,-4,,))-1),"")</f>
        <v/>
      </c>
      <c r="O59" s="2" t="str">
        <f ca="1">IFERROR(IF(Inputs!$E$14 = "Semi-annual",('Interim Operational Data'!O58/OFFSET(O58,0,-2,,))-1,('Interim Operational Data'!O58/OFFSET('Interim Operational Data'!O58,0,-4,,))-1),"")</f>
        <v/>
      </c>
      <c r="P59" s="2" t="str">
        <f ca="1">IFERROR(IF(Inputs!$E$14 = "Semi-annual",('Interim Operational Data'!P58/OFFSET(P58,0,-2,,))-1,('Interim Operational Data'!P58/OFFSET('Interim Operational Data'!P58,0,-4,,))-1),"")</f>
        <v/>
      </c>
      <c r="Q59" s="301" t="str">
        <f ca="1">IFERROR(IF(Inputs!$E$14 = "Semi-annual",('Interim Operational Data'!Q58/OFFSET(Q58,0,-2,,))-1,('Interim Operational Data'!Q58/OFFSET('Interim Operational Data'!Q58,0,-4,,))-1),"")</f>
        <v/>
      </c>
      <c r="R59" s="2" t="str">
        <f ca="1">IFERROR(IF(Inputs!$E$14 = "Semi-annual",('Interim Operational Data'!R58/OFFSET(R58,0,-2,,))-1,('Interim Operational Data'!R58/OFFSET('Interim Operational Data'!R58,0,-4,,))-1),"")</f>
        <v/>
      </c>
      <c r="S59" s="2" t="str">
        <f ca="1">IFERROR(IF(Inputs!$E$14 = "Semi-annual",('Interim Operational Data'!S58/OFFSET(S58,0,-2,,))-1,('Interim Operational Data'!S58/OFFSET('Interim Operational Data'!S58,0,-4,,))-1),"")</f>
        <v/>
      </c>
      <c r="T59" s="2" t="str">
        <f ca="1">IFERROR(IF(Inputs!$E$14 = "Semi-annual",('Interim Operational Data'!T58/OFFSET(T58,0,-2,,))-1,('Interim Operational Data'!T58/OFFSET('Interim Operational Data'!T58,0,-4,,))-1),"")</f>
        <v/>
      </c>
      <c r="U59" s="301" t="str">
        <f ca="1">IFERROR(IF(Inputs!$E$14 = "Semi-annual",('Interim Operational Data'!U58/OFFSET(U58,0,-2,,))-1,('Interim Operational Data'!U58/OFFSET('Interim Operational Data'!U58,0,-4,,))-1),"")</f>
        <v/>
      </c>
      <c r="V59" s="2" t="str">
        <f ca="1">IFERROR(IF(Inputs!$E$14 = "Semi-annual",('Interim Operational Data'!V58/OFFSET(V58,0,-2,,))-1,('Interim Operational Data'!V58/OFFSET('Interim Operational Data'!V58,0,-4,,))-1),"")</f>
        <v/>
      </c>
      <c r="W59" s="2" t="str">
        <f ca="1">IFERROR(IF(Inputs!$E$14 = "Semi-annual",('Interim Operational Data'!W58/OFFSET(W58,0,-2,,))-1,('Interim Operational Data'!W58/OFFSET('Interim Operational Data'!W58,0,-4,,))-1),"")</f>
        <v/>
      </c>
      <c r="X59" s="2" t="str">
        <f ca="1">IFERROR(IF(Inputs!$E$14 = "Semi-annual",('Interim Operational Data'!X58/OFFSET(X58,0,-2,,))-1,('Interim Operational Data'!X58/OFFSET('Interim Operational Data'!X58,0,-4,,))-1),"")</f>
        <v/>
      </c>
      <c r="Y59" s="2" t="str">
        <f ca="1">IFERROR(IF(Inputs!$E$14 = "Semi-annual",('Interim Operational Data'!Y58/OFFSET(Y58,0,-2,,))-1,('Interim Operational Data'!Y58/OFFSET('Interim Operational Data'!Y58,0,-4,,))-1),"")</f>
        <v/>
      </c>
      <c r="Z59" s="2" t="str">
        <f ca="1">IFERROR(IF(Inputs!$E$14 = "Semi-annual",('Interim Operational Data'!Z58/OFFSET(Z58,0,-2,,))-1,('Interim Operational Data'!Z58/OFFSET('Interim Operational Data'!Z58,0,-4,,))-1),"")</f>
        <v/>
      </c>
      <c r="AA59" s="2" t="str">
        <f ca="1">IFERROR(IF(Inputs!$E$14 = "Semi-annual",('Interim Operational Data'!AA58/OFFSET(AA58,0,-2,,))-1,('Interim Operational Data'!AA58/OFFSET('Interim Operational Data'!AA58,0,-4,,))-1),"")</f>
        <v/>
      </c>
      <c r="AB59" s="2" t="str">
        <f ca="1">IFERROR(IF(Inputs!$E$14 = "Semi-annual",('Interim Operational Data'!AB58/OFFSET(AB58,0,-2,,))-1,('Interim Operational Data'!AB58/OFFSET('Interim Operational Data'!AB58,0,-4,,))-1),"")</f>
        <v/>
      </c>
    </row>
    <row r="60" spans="1:28" s="52" customFormat="1" x14ac:dyDescent="0.3">
      <c r="A60" s="89" t="s">
        <v>407</v>
      </c>
      <c r="B60" s="72"/>
      <c r="C60" s="72"/>
      <c r="D60" s="72"/>
      <c r="E60" s="215"/>
      <c r="F60" s="72"/>
      <c r="G60" s="72"/>
      <c r="H60" s="72"/>
      <c r="I60" s="215"/>
      <c r="J60" s="72"/>
      <c r="K60" s="72"/>
      <c r="L60" s="72"/>
      <c r="M60" s="215"/>
      <c r="N60" s="72"/>
      <c r="O60" s="72"/>
      <c r="P60" s="72"/>
      <c r="Q60" s="215"/>
      <c r="R60" s="72"/>
      <c r="S60" s="72"/>
      <c r="T60" s="72"/>
      <c r="U60" s="215"/>
      <c r="V60" s="72"/>
      <c r="W60" s="72"/>
      <c r="X60" s="72"/>
      <c r="Y60" s="72"/>
      <c r="Z60" s="72"/>
      <c r="AA60" s="72"/>
      <c r="AB60" s="72"/>
    </row>
    <row r="61" spans="1:28" s="52" customFormat="1" x14ac:dyDescent="0.3">
      <c r="A61" s="89" t="s">
        <v>0</v>
      </c>
      <c r="B61" s="71"/>
      <c r="C61" s="71"/>
      <c r="D61" s="71"/>
      <c r="E61" s="216"/>
      <c r="F61" s="71"/>
      <c r="G61" s="71"/>
      <c r="H61" s="71"/>
      <c r="I61" s="216"/>
      <c r="J61" s="71"/>
      <c r="K61" s="71"/>
      <c r="L61" s="71"/>
      <c r="M61" s="216"/>
      <c r="N61" s="71"/>
      <c r="O61" s="71"/>
      <c r="P61" s="71"/>
      <c r="Q61" s="216"/>
      <c r="R61" s="71"/>
      <c r="S61" s="71"/>
      <c r="T61" s="71"/>
      <c r="U61" s="216"/>
      <c r="V61" s="71"/>
      <c r="W61" s="71"/>
      <c r="X61" s="71"/>
      <c r="Y61" s="71"/>
      <c r="Z61" s="71"/>
      <c r="AA61" s="71"/>
      <c r="AB61" s="71"/>
    </row>
    <row r="62" spans="1:28" x14ac:dyDescent="0.3">
      <c r="A62" s="85" t="s">
        <v>247</v>
      </c>
      <c r="B62" s="2">
        <f>IFERROR(-'Interim Inc Statement US$'!D15/'Interim Inc Statement US$'!D13,"")</f>
        <v>0.1486452895848869</v>
      </c>
      <c r="C62" s="2">
        <f>IFERROR(-'Interim Inc Statement US$'!E15/'Interim Inc Statement US$'!E13,"")</f>
        <v>0.18541797611565053</v>
      </c>
      <c r="D62" s="2">
        <f>IFERROR(-'Interim Inc Statement US$'!F15/'Interim Inc Statement US$'!F13,"")</f>
        <v>0.18187256954830991</v>
      </c>
      <c r="E62" s="301">
        <f>IFERROR(-'Interim Inc Statement US$'!G15/'Interim Inc Statement US$'!G13,"")</f>
        <v>0.17669172932330826</v>
      </c>
      <c r="F62" s="2">
        <f>IFERROR(-'Interim Inc Statement US$'!H15/'Interim Inc Statement US$'!H13,"")</f>
        <v>0.14783194787688159</v>
      </c>
      <c r="G62" s="2">
        <f>IFERROR(-'Interim Inc Statement US$'!I15/'Interim Inc Statement US$'!I13,"")</f>
        <v>0.18481751824817522</v>
      </c>
      <c r="H62" s="2">
        <f>IFERROR(-'Interim Inc Statement US$'!J15/'Interim Inc Statement US$'!J13,"")</f>
        <v>0.17682591982427237</v>
      </c>
      <c r="I62" s="301">
        <f>IFERROR(-'Interim Inc Statement US$'!K15/'Interim Inc Statement US$'!K13,"")</f>
        <v>0.16956521739130434</v>
      </c>
      <c r="J62" s="2">
        <f>IFERROR(-'Interim Inc Statement US$'!L15/'Interim Inc Statement US$'!L13,"")</f>
        <v>0.13565573770491804</v>
      </c>
      <c r="K62" s="2">
        <f>IFERROR(-'Interim Inc Statement US$'!M15/'Interim Inc Statement US$'!M13,"")</f>
        <v>0.18376963350785339</v>
      </c>
      <c r="L62" s="2">
        <f>IFERROR(-'Interim Inc Statement US$'!N15/'Interim Inc Statement US$'!N13,"")</f>
        <v>0.17194792434291331</v>
      </c>
      <c r="M62" s="301">
        <f>IFERROR(-'Interim Inc Statement US$'!O15/'Interim Inc Statement US$'!O13,"")</f>
        <v>0.16408954534964226</v>
      </c>
      <c r="N62" s="2">
        <f>IFERROR(-'Interim Inc Statement US$'!P15/'Interim Inc Statement US$'!P13,"")</f>
        <v>0.13721144967682367</v>
      </c>
      <c r="O62" s="2">
        <f>IFERROR(-'Interim Inc Statement US$'!Q15/'Interim Inc Statement US$'!Q13,"")</f>
        <v>0.16933584550164862</v>
      </c>
      <c r="P62" s="2">
        <f>IFERROR(-'Interim Inc Statement US$'!R15/'Interim Inc Statement US$'!R13,"")</f>
        <v>0.17942959802380415</v>
      </c>
      <c r="Q62" s="301">
        <f>IFERROR(-'Interim Inc Statement US$'!S15/'Interim Inc Statement US$'!S13,"")</f>
        <v>0.16417910447761197</v>
      </c>
      <c r="R62" s="2">
        <f>IFERROR(-'Interim Inc Statement US$'!V15/'Interim Inc Statement US$'!V13,"")</f>
        <v>0.21386351423965613</v>
      </c>
      <c r="S62" s="2">
        <f>IFERROR(-'Interim Inc Statement US$'!W15/'Interim Inc Statement US$'!W13,"")</f>
        <v>0.70967741935483875</v>
      </c>
      <c r="T62" s="2">
        <f>IFERROR(-'Interim Inc Statement US$'!X15/'Interim Inc Statement US$'!X13,"")</f>
        <v>0.37780713342140021</v>
      </c>
      <c r="U62" s="301">
        <f>IFERROR(-'Interim Inc Statement US$'!Y15/'Interim Inc Statement US$'!Y13,"")</f>
        <v>0.43409915356711004</v>
      </c>
      <c r="V62" s="2">
        <f>IFERROR(-'Interim Inc Statement US$'!Z15/'Interim Inc Statement US$'!Z13,"")</f>
        <v>0.50342935528120714</v>
      </c>
      <c r="W62" s="2">
        <f>IFERROR(-'Interim Inc Statement US$'!AA15/'Interim Inc Statement US$'!AA13,"")</f>
        <v>0.6738351254480287</v>
      </c>
      <c r="X62" s="2">
        <f>IFERROR(-'Interim Inc Statement US$'!AB15/'Interim Inc Statement US$'!AB13,"")</f>
        <v>0.23823109843081311</v>
      </c>
      <c r="Y62" s="2" t="str">
        <f>IFERROR(-'Interim Inc Statement US$'!AC15/'Interim Inc Statement US$'!AC13,"")</f>
        <v/>
      </c>
      <c r="Z62" s="2" t="str">
        <f>IFERROR(-'Interim Inc Statement US$'!AD15/'Interim Inc Statement US$'!AD13,"")</f>
        <v/>
      </c>
      <c r="AA62" s="2" t="str">
        <f>IFERROR(-'Interim Inc Statement US$'!AE15/'Interim Inc Statement US$'!AE13,"")</f>
        <v/>
      </c>
      <c r="AB62" s="2" t="str">
        <f>IFERROR(-'Interim Inc Statement US$'!AF15/'Interim Inc Statement US$'!AF13,"")</f>
        <v/>
      </c>
    </row>
    <row r="63" spans="1:28" x14ac:dyDescent="0.3">
      <c r="A63" s="8" t="s">
        <v>248</v>
      </c>
      <c r="B63" s="10"/>
      <c r="C63" s="10"/>
      <c r="D63" s="10"/>
      <c r="E63" s="208"/>
      <c r="F63" s="10"/>
      <c r="G63" s="10"/>
      <c r="H63" s="10"/>
      <c r="I63" s="208"/>
      <c r="J63" s="10"/>
      <c r="K63" s="10"/>
      <c r="L63" s="10"/>
      <c r="M63" s="208"/>
      <c r="N63" s="10"/>
      <c r="O63" s="10"/>
      <c r="P63" s="10"/>
      <c r="Q63" s="208"/>
      <c r="R63" s="10"/>
      <c r="S63" s="10"/>
      <c r="T63" s="10"/>
      <c r="U63" s="208"/>
      <c r="V63" s="10"/>
      <c r="W63" s="10"/>
      <c r="X63" s="10"/>
      <c r="Y63" s="10"/>
      <c r="Z63" s="10"/>
      <c r="AA63" s="10"/>
      <c r="AB63" s="10"/>
    </row>
    <row r="64" spans="1:28" x14ac:dyDescent="0.3">
      <c r="A64" s="85" t="s">
        <v>420</v>
      </c>
      <c r="B64" s="5">
        <f>IFERROR(B25*1000000/B33,"")</f>
        <v>56667.575674938642</v>
      </c>
      <c r="C64" s="5">
        <f t="shared" ref="C64:M64" si="81">IFERROR(C25*1000000/C33,"")</f>
        <v>55334.790383469102</v>
      </c>
      <c r="D64" s="5">
        <f t="shared" si="81"/>
        <v>54811.982154238365</v>
      </c>
      <c r="E64" s="213">
        <f t="shared" si="81"/>
        <v>54851.873443213735</v>
      </c>
      <c r="F64" s="5">
        <f t="shared" si="81"/>
        <v>53526.950032773653</v>
      </c>
      <c r="G64" s="5">
        <f t="shared" si="81"/>
        <v>51781.238811313997</v>
      </c>
      <c r="H64" s="5">
        <f t="shared" si="81"/>
        <v>51233.396584440226</v>
      </c>
      <c r="I64" s="213">
        <f t="shared" si="81"/>
        <v>52510.071975012448</v>
      </c>
      <c r="J64" s="5">
        <f t="shared" si="81"/>
        <v>52141.696514370575</v>
      </c>
      <c r="K64" s="5">
        <f t="shared" si="81"/>
        <v>51267.89446701108</v>
      </c>
      <c r="L64" s="5">
        <f t="shared" si="81"/>
        <v>51013.977455716587</v>
      </c>
      <c r="M64" s="213">
        <f t="shared" si="81"/>
        <v>51842.048695795958</v>
      </c>
      <c r="N64" s="5">
        <f t="shared" ref="N64:R64" si="82">IFERROR(N25*1000000/N33,"")</f>
        <v>51558.120826964849</v>
      </c>
      <c r="O64" s="5">
        <f t="shared" si="82"/>
        <v>50247.313799552605</v>
      </c>
      <c r="P64" s="5">
        <f t="shared" si="82"/>
        <v>49857.77227872167</v>
      </c>
      <c r="Q64" s="213">
        <f t="shared" si="82"/>
        <v>50514.219860926634</v>
      </c>
      <c r="R64" s="5">
        <f t="shared" si="82"/>
        <v>50767.412361623617</v>
      </c>
      <c r="S64" s="5">
        <f t="shared" ref="S64:U64" si="83">IFERROR(S25*1000000/S33,"")</f>
        <v>50536.223575779288</v>
      </c>
      <c r="T64" s="5">
        <f t="shared" si="83"/>
        <v>50316.418646208833</v>
      </c>
      <c r="U64" s="213">
        <f t="shared" si="83"/>
        <v>51060.232302977565</v>
      </c>
      <c r="V64" s="5">
        <f t="shared" ref="V64:W64" si="84">IFERROR(V25*1000000/V33,"")</f>
        <v>51385.266471013565</v>
      </c>
      <c r="W64" s="5">
        <f t="shared" si="84"/>
        <v>107348.64021399911</v>
      </c>
      <c r="X64" s="5">
        <f t="shared" ref="X64:Y64" si="85">IFERROR(X25*1000000/X33,"")</f>
        <v>55918.305597579427</v>
      </c>
      <c r="Y64" s="5">
        <f t="shared" si="85"/>
        <v>62034</v>
      </c>
      <c r="Z64" s="5">
        <f t="shared" ref="Z64:AA64" si="86">IFERROR(Z25*1000000/Z33,"")</f>
        <v>75601.519829019235</v>
      </c>
      <c r="AA64" s="5">
        <f t="shared" si="86"/>
        <v>87422.5</v>
      </c>
      <c r="AB64" s="5">
        <f t="shared" ref="AB64" si="87">IFERROR(AB25*1000000/AB33,"")</f>
        <v>58340.680100755664</v>
      </c>
    </row>
    <row r="65" spans="1:28" x14ac:dyDescent="0.3">
      <c r="A65" s="85" t="s">
        <v>0</v>
      </c>
      <c r="B65" s="5"/>
      <c r="C65" s="2" t="str">
        <f ca="1">IFERROR(IF(Inputs!$E$14 = "Semi-annual",('Interim Operational Data'!C64/OFFSET(C64,0,-2,,))-1,('Interim Operational Data'!C64/OFFSET('Interim Operational Data'!C64,0,-4,,))-1),"")</f>
        <v/>
      </c>
      <c r="D65" s="2" t="str">
        <f ca="1">IFERROR(IF(Inputs!$E$14 = "Semi-annual",('Interim Operational Data'!D64/OFFSET(D64,0,-2,,))-1,('Interim Operational Data'!D64/OFFSET('Interim Operational Data'!D64,0,-4,,))-1),"")</f>
        <v/>
      </c>
      <c r="E65" s="301" t="str">
        <f ca="1">IFERROR(IF(Inputs!$E$14 = "Semi-annual",('Interim Operational Data'!E64/OFFSET(E64,0,-2,,))-1,('Interim Operational Data'!E64/OFFSET('Interim Operational Data'!E64,0,-4,,))-1),"")</f>
        <v/>
      </c>
      <c r="F65" s="2">
        <f ca="1">IFERROR(IF(Inputs!$E$14 = "Semi-annual",('Interim Operational Data'!F64/OFFSET(F64,0,-2,,))-1,('Interim Operational Data'!F64/OFFSET('Interim Operational Data'!F64,0,-4,,))-1),"")</f>
        <v>-5.5421916409138627E-2</v>
      </c>
      <c r="G65" s="2">
        <f ca="1">IFERROR(IF(Inputs!$E$14 = "Semi-annual",('Interim Operational Data'!G64/OFFSET(G64,0,-2,,))-1,('Interim Operational Data'!G64/OFFSET('Interim Operational Data'!G64,0,-4,,))-1),"")</f>
        <v>-6.4219120512232108E-2</v>
      </c>
      <c r="H65" s="2">
        <f ca="1">IFERROR(IF(Inputs!$E$14 = "Semi-annual",('Interim Operational Data'!H64/OFFSET(H64,0,-2,,))-1,('Interim Operational Data'!H64/OFFSET('Interim Operational Data'!H64,0,-4,,))-1),"")</f>
        <v>-6.5288380918759104E-2</v>
      </c>
      <c r="I65" s="301">
        <f ca="1">IFERROR(IF(Inputs!$E$14 = "Semi-annual",('Interim Operational Data'!I64/OFFSET(I64,0,-2,,))-1,('Interim Operational Data'!I64/OFFSET('Interim Operational Data'!I64,0,-4,,))-1),"")</f>
        <v>-4.2693190244917911E-2</v>
      </c>
      <c r="J65" s="2">
        <f ca="1">IFERROR(IF(Inputs!$E$14 = "Semi-annual",('Interim Operational Data'!J64/OFFSET(J64,0,-2,,))-1,('Interim Operational Data'!J64/OFFSET('Interim Operational Data'!J64,0,-4,,))-1),"")</f>
        <v>-2.5879552590889476E-2</v>
      </c>
      <c r="K65" s="2">
        <f ca="1">IFERROR(IF(Inputs!$E$14 = "Semi-annual",('Interim Operational Data'!K64/OFFSET(K64,0,-2,,))-1,('Interim Operational Data'!K64/OFFSET('Interim Operational Data'!K64,0,-4,,))-1),"")</f>
        <v>-9.9137130761489667E-3</v>
      </c>
      <c r="L65" s="2">
        <f ca="1">IFERROR(IF(Inputs!$E$14 = "Semi-annual",('Interim Operational Data'!L64/OFFSET(L64,0,-2,,))-1,('Interim Operational Data'!L64/OFFSET('Interim Operational Data'!L64,0,-4,,))-1),"")</f>
        <v>-4.2827363273095775E-3</v>
      </c>
      <c r="M65" s="301">
        <f ca="1">IFERROR(IF(Inputs!$E$14 = "Semi-annual",('Interim Operational Data'!M64/OFFSET(M64,0,-2,,))-1,('Interim Operational Data'!M64/OFFSET('Interim Operational Data'!M64,0,-4,,))-1),"")</f>
        <v>-1.2721812294113288E-2</v>
      </c>
      <c r="N65" s="2">
        <f ca="1">IFERROR(IF(Inputs!$E$14 = "Semi-annual",('Interim Operational Data'!N64/OFFSET(N64,0,-2,,))-1,('Interim Operational Data'!N64/OFFSET('Interim Operational Data'!N64,0,-4,,))-1),"")</f>
        <v>-1.1192111619246825E-2</v>
      </c>
      <c r="O65" s="2">
        <f ca="1">IFERROR(IF(Inputs!$E$14 = "Semi-annual",('Interim Operational Data'!O64/OFFSET(O64,0,-2,,))-1,('Interim Operational Data'!O64/OFFSET('Interim Operational Data'!O64,0,-4,,))-1),"")</f>
        <v>-1.9906818449803465E-2</v>
      </c>
      <c r="P65" s="2">
        <f ca="1">IFERROR(IF(Inputs!$E$14 = "Semi-annual",('Interim Operational Data'!P64/OFFSET(P64,0,-2,,))-1,('Interim Operational Data'!P64/OFFSET('Interim Operational Data'!P64,0,-4,,))-1),"")</f>
        <v>-2.266447814226169E-2</v>
      </c>
      <c r="Q65" s="301">
        <f ca="1">IFERROR(IF(Inputs!$E$14 = "Semi-annual",('Interim Operational Data'!Q64/OFFSET(Q64,0,-2,,))-1,('Interim Operational Data'!Q64/OFFSET('Interim Operational Data'!Q64,0,-4,,))-1),"")</f>
        <v>-2.5612969939920682E-2</v>
      </c>
      <c r="R65" s="2">
        <f ca="1">IFERROR(IF(Inputs!$E$14 = "Semi-annual",('Interim Operational Data'!R64/OFFSET(R64,0,-2,,))-1,('Interim Operational Data'!R64/OFFSET('Interim Operational Data'!R64,0,-4,,))-1),"")</f>
        <v>-1.533625455425236E-2</v>
      </c>
      <c r="S65" s="2">
        <f ca="1">IFERROR(IF(Inputs!$E$14 = "Semi-annual",('Interim Operational Data'!S64/OFFSET(S64,0,-2,,))-1,('Interim Operational Data'!S64/OFFSET('Interim Operational Data'!S64,0,-4,,))-1),"")</f>
        <v>5.7497556462262622E-3</v>
      </c>
      <c r="T65" s="2">
        <f ca="1">IFERROR(IF(Inputs!$E$14 = "Semi-annual",('Interim Operational Data'!T64/OFFSET(T64,0,-2,,))-1,('Interim Operational Data'!T64/OFFSET('Interim Operational Data'!T64,0,-4,,))-1),"")</f>
        <v>9.1990946752127378E-3</v>
      </c>
      <c r="U65" s="301">
        <f ca="1">IFERROR(IF(Inputs!$E$14 = "Semi-annual",('Interim Operational Data'!U64/OFFSET(U64,0,-2,,))-1,('Interim Operational Data'!U64/OFFSET('Interim Operational Data'!U64,0,-4,,))-1),"")</f>
        <v>1.0809083928331242E-2</v>
      </c>
      <c r="V65" s="2">
        <f ca="1">IFERROR(IF(Inputs!$E$14 = "Semi-annual",('Interim Operational Data'!V64/OFFSET(V64,0,-2,,))-1,('Interim Operational Data'!V64/OFFSET('Interim Operational Data'!V64,0,-4,,))-1),"")</f>
        <v>1.2170289574518378E-2</v>
      </c>
      <c r="W65" s="2">
        <f ca="1">IFERROR(IF(Inputs!$E$14 = "Semi-annual",('Interim Operational Data'!W64/OFFSET(W64,0,-2,,))-1,('Interim Operational Data'!W64/OFFSET('Interim Operational Data'!W64,0,-4,,))-1),"")</f>
        <v>1.1241919680252592</v>
      </c>
      <c r="X65" s="2">
        <f ca="1">IFERROR(IF(Inputs!$E$14 = "Semi-annual",('Interim Operational Data'!X64/OFFSET(X64,0,-2,,))-1,('Interim Operational Data'!X64/OFFSET('Interim Operational Data'!X64,0,-4,,))-1),"")</f>
        <v>0.11133318113833357</v>
      </c>
      <c r="Y65" s="2">
        <f ca="1">IFERROR(IF(Inputs!$E$14 = "Semi-annual",('Interim Operational Data'!Y64/OFFSET(Y64,0,-2,,))-1,('Interim Operational Data'!Y64/OFFSET('Interim Operational Data'!Y64,0,-4,,))-1),"")</f>
        <v>0.21491809187053978</v>
      </c>
      <c r="Z65" s="2">
        <f ca="1">IFERROR(IF(Inputs!$E$14 = "Semi-annual",('Interim Operational Data'!Z64/OFFSET(Z64,0,-2,,))-1,('Interim Operational Data'!Z64/OFFSET('Interim Operational Data'!Z64,0,-4,,))-1),"")</f>
        <v>0.47126842032951344</v>
      </c>
      <c r="AA65" s="2">
        <f ca="1">IFERROR(IF(Inputs!$E$14 = "Semi-annual",('Interim Operational Data'!AA64/OFFSET(AA64,0,-2,,))-1,('Interim Operational Data'!AA64/OFFSET('Interim Operational Data'!AA64,0,-4,,))-1),"")</f>
        <v>-0.18562079756461214</v>
      </c>
      <c r="AB65" s="2">
        <f ca="1">IFERROR(IF(Inputs!$E$14 = "Semi-annual",('Interim Operational Data'!AB64/OFFSET(AB64,0,-2,,))-1,('Interim Operational Data'!AB64/OFFSET('Interim Operational Data'!AB64,0,-4,,))-1),"")</f>
        <v>4.3319883842851903E-2</v>
      </c>
    </row>
    <row r="66" spans="1:28" x14ac:dyDescent="0.3">
      <c r="A66" s="85" t="s">
        <v>249</v>
      </c>
      <c r="B66" s="2" t="str">
        <f>IFERROR((B65/#REF!)-1, "N/A")</f>
        <v>N/A</v>
      </c>
      <c r="C66" s="2" t="str">
        <f ca="1">IFERROR((C65/#REF!)-1, "N/A")</f>
        <v>N/A</v>
      </c>
      <c r="D66" s="2" t="str">
        <f ca="1">IFERROR((D65/#REF!)-1, "N/A")</f>
        <v>N/A</v>
      </c>
      <c r="E66" s="301" t="str">
        <f t="shared" ref="E66:M66" ca="1" si="88">IFERROR((E65/A65)-1, "N/A")</f>
        <v>N/A</v>
      </c>
      <c r="F66" s="2" t="str">
        <f t="shared" ca="1" si="88"/>
        <v>N/A</v>
      </c>
      <c r="G66" s="2" t="str">
        <f t="shared" ca="1" si="88"/>
        <v>N/A</v>
      </c>
      <c r="H66" s="2" t="str">
        <f t="shared" ca="1" si="88"/>
        <v>N/A</v>
      </c>
      <c r="I66" s="301" t="str">
        <f t="shared" ca="1" si="88"/>
        <v>N/A</v>
      </c>
      <c r="J66" s="2">
        <f t="shared" ca="1" si="88"/>
        <v>-0.5330447904428266</v>
      </c>
      <c r="K66" s="2">
        <f t="shared" ca="1" si="88"/>
        <v>-0.84562676976772588</v>
      </c>
      <c r="L66" s="2">
        <f t="shared" ca="1" si="88"/>
        <v>-0.93440277937603089</v>
      </c>
      <c r="M66" s="301">
        <f t="shared" ca="1" si="88"/>
        <v>-0.70201776393068538</v>
      </c>
      <c r="N66" s="2">
        <f t="shared" ref="N66" ca="1" si="89">IFERROR((N65/J65)-1, "N/A")</f>
        <v>-0.56753071445343117</v>
      </c>
      <c r="O66" s="2">
        <f t="shared" ref="O66" ca="1" si="90">IFERROR((O65/K65)-1, "N/A")</f>
        <v>1.0080083311767956</v>
      </c>
      <c r="P66" s="2">
        <f t="shared" ref="P66" ca="1" si="91">IFERROR((P65/L65)-1, "N/A")</f>
        <v>4.2920554547656584</v>
      </c>
      <c r="Q66" s="301">
        <f t="shared" ref="Q66" ca="1" si="92">IFERROR((Q65/M65)-1, "N/A")</f>
        <v>1.0133114172555797</v>
      </c>
      <c r="R66" s="2">
        <f t="shared" ref="R66" ca="1" si="93">IFERROR((R65/N65)-1, "N/A")</f>
        <v>0.37027355301558496</v>
      </c>
      <c r="S66" s="2">
        <f t="shared" ref="S66" ca="1" si="94">IFERROR((S65/O65)-1, "N/A")</f>
        <v>-1.288833479881514</v>
      </c>
      <c r="T66" s="2">
        <f t="shared" ref="T66" ca="1" si="95">IFERROR((T65/P65)-1, "N/A")</f>
        <v>-1.4058816010442126</v>
      </c>
      <c r="U66" s="301">
        <f t="shared" ref="U66" ca="1" si="96">IFERROR((U65/Q65)-1, "N/A")</f>
        <v>-1.4220160314749002</v>
      </c>
      <c r="V66" s="2">
        <f t="shared" ref="V66" ca="1" si="97">IFERROR((V65/R65)-1, "N/A")</f>
        <v>-1.7935633522165202</v>
      </c>
      <c r="W66" s="2">
        <f t="shared" ref="W66" ca="1" si="98">IFERROR((W65/S65)-1, "N/A")</f>
        <v>194.51995548943029</v>
      </c>
      <c r="X66" s="2">
        <f t="shared" ref="X66" ca="1" si="99">IFERROR((X65/T65)-1, "N/A")</f>
        <v>11.102623689516369</v>
      </c>
      <c r="Y66" s="2">
        <f t="shared" ref="Y66:AB66" ca="1" si="100">IFERROR((Y65/U65)-1, "N/A")</f>
        <v>18.883099557329448</v>
      </c>
      <c r="Z66" s="2">
        <f t="shared" ca="1" si="100"/>
        <v>37.722860080193549</v>
      </c>
      <c r="AA66" s="2">
        <f t="shared" ca="1" si="100"/>
        <v>-1.1651148583552604</v>
      </c>
      <c r="AB66" s="2">
        <f t="shared" ca="1" si="100"/>
        <v>-0.61089871501088133</v>
      </c>
    </row>
    <row r="67" spans="1:28" x14ac:dyDescent="0.3">
      <c r="A67" s="85" t="s">
        <v>0</v>
      </c>
      <c r="B67" s="5"/>
      <c r="C67" s="2" t="str">
        <f ca="1">IFERROR(IF(Inputs!$E$14 = "Semi-annual",('Interim Operational Data'!C66/OFFSET(C66,0,-2,,))-1,('Interim Operational Data'!C66/OFFSET('Interim Operational Data'!C66,0,-4,,))-1),"")</f>
        <v/>
      </c>
      <c r="D67" s="2" t="str">
        <f ca="1">IFERROR(IF(Inputs!$E$14 = "Semi-annual",('Interim Operational Data'!D66/OFFSET(D66,0,-2,,))-1,('Interim Operational Data'!D66/OFFSET('Interim Operational Data'!D66,0,-4,,))-1),"")</f>
        <v/>
      </c>
      <c r="E67" s="301" t="str">
        <f ca="1">IFERROR(IF(Inputs!$E$14 = "Semi-annual",('Interim Operational Data'!E66/OFFSET(E66,0,-2,,))-1,('Interim Operational Data'!E66/OFFSET('Interim Operational Data'!E66,0,-4,,))-1),"")</f>
        <v/>
      </c>
      <c r="F67" s="2" t="str">
        <f ca="1">IFERROR(IF(Inputs!$E$14 = "Semi-annual",('Interim Operational Data'!F66/OFFSET(F66,0,-2,,))-1,('Interim Operational Data'!F66/OFFSET('Interim Operational Data'!F66,0,-4,,))-1),"")</f>
        <v/>
      </c>
      <c r="G67" s="2" t="str">
        <f ca="1">IFERROR(IF(Inputs!$E$14 = "Semi-annual",('Interim Operational Data'!G66/OFFSET(G66,0,-2,,))-1,('Interim Operational Data'!G66/OFFSET('Interim Operational Data'!G66,0,-4,,))-1),"")</f>
        <v/>
      </c>
      <c r="H67" s="2" t="str">
        <f ca="1">IFERROR(IF(Inputs!$E$14 = "Semi-annual",('Interim Operational Data'!H66/OFFSET(H66,0,-2,,))-1,('Interim Operational Data'!H66/OFFSET('Interim Operational Data'!H66,0,-4,,))-1),"")</f>
        <v/>
      </c>
      <c r="I67" s="301" t="str">
        <f ca="1">IFERROR(IF(Inputs!$E$14 = "Semi-annual",('Interim Operational Data'!I66/OFFSET(I66,0,-2,,))-1,('Interim Operational Data'!I66/OFFSET('Interim Operational Data'!I66,0,-4,,))-1),"")</f>
        <v/>
      </c>
      <c r="J67" s="2" t="str">
        <f ca="1">IFERROR(IF(Inputs!$E$14 = "Semi-annual",('Interim Operational Data'!J66/OFFSET(J66,0,-2,,))-1,('Interim Operational Data'!J66/OFFSET('Interim Operational Data'!J66,0,-4,,))-1),"")</f>
        <v/>
      </c>
      <c r="K67" s="2" t="str">
        <f ca="1">IFERROR(IF(Inputs!$E$14 = "Semi-annual",('Interim Operational Data'!K66/OFFSET(K66,0,-2,,))-1,('Interim Operational Data'!K66/OFFSET('Interim Operational Data'!K66,0,-4,,))-1),"")</f>
        <v/>
      </c>
      <c r="L67" s="2" t="str">
        <f ca="1">IFERROR(IF(Inputs!$E$14 = "Semi-annual",('Interim Operational Data'!L66/OFFSET(L66,0,-2,,))-1,('Interim Operational Data'!L66/OFFSET('Interim Operational Data'!L66,0,-4,,))-1),"")</f>
        <v/>
      </c>
      <c r="M67" s="301" t="str">
        <f ca="1">IFERROR(IF(Inputs!$E$14 = "Semi-annual",('Interim Operational Data'!M66/OFFSET(M66,0,-2,,))-1,('Interim Operational Data'!M66/OFFSET('Interim Operational Data'!M66,0,-4,,))-1),"")</f>
        <v/>
      </c>
      <c r="N67" s="2">
        <f ca="1">IFERROR(IF(Inputs!$E$14 = "Semi-annual",('Interim Operational Data'!N66/OFFSET(N66,0,-2,,))-1,('Interim Operational Data'!N66/OFFSET('Interim Operational Data'!N66,0,-4,,))-1),"")</f>
        <v>6.4696109274335889E-2</v>
      </c>
      <c r="O67" s="2">
        <f ca="1">IFERROR(IF(Inputs!$E$14 = "Semi-annual",('Interim Operational Data'!O66/OFFSET(O66,0,-2,,))-1,('Interim Operational Data'!O66/OFFSET('Interim Operational Data'!O66,0,-4,,))-1),"")</f>
        <v>-2.1920250957212151</v>
      </c>
      <c r="P67" s="2">
        <f ca="1">IFERROR(IF(Inputs!$E$14 = "Semi-annual",('Interim Operational Data'!P66/OFFSET(P66,0,-2,,))-1,('Interim Operational Data'!P66/OFFSET('Interim Operational Data'!P66,0,-4,,))-1),"")</f>
        <v>-5.593367602814471</v>
      </c>
      <c r="Q67" s="301">
        <f ca="1">IFERROR(IF(Inputs!$E$14 = "Semi-annual",('Interim Operational Data'!Q66/OFFSET(Q66,0,-2,,))-1,('Interim Operational Data'!Q66/OFFSET('Interim Operational Data'!Q66,0,-4,,))-1),"")</f>
        <v>-2.4434270317917912</v>
      </c>
      <c r="R67" s="2">
        <f ca="1">IFERROR(IF(Inputs!$E$14 = "Semi-annual",('Interim Operational Data'!R66/OFFSET(R66,0,-2,,))-1,('Interim Operational Data'!R66/OFFSET('Interim Operational Data'!R66,0,-4,,))-1),"")</f>
        <v>-1.6524290995813016</v>
      </c>
      <c r="S67" s="2">
        <f ca="1">IFERROR(IF(Inputs!$E$14 = "Semi-annual",('Interim Operational Data'!S66/OFFSET(S66,0,-2,,))-1,('Interim Operational Data'!S66/OFFSET('Interim Operational Data'!S66,0,-4,,))-1),"")</f>
        <v>-2.2785940750875247</v>
      </c>
      <c r="T67" s="2">
        <f ca="1">IFERROR(IF(Inputs!$E$14 = "Semi-annual",('Interim Operational Data'!T66/OFFSET(T66,0,-2,,))-1,('Interim Operational Data'!T66/OFFSET('Interim Operational Data'!T66,0,-4,,))-1),"")</f>
        <v>-1.3275543887680203</v>
      </c>
      <c r="U67" s="301">
        <f ca="1">IFERROR(IF(Inputs!$E$14 = "Semi-annual",('Interim Operational Data'!U66/OFFSET(U66,0,-2,,))-1,('Interim Operational Data'!U66/OFFSET('Interim Operational Data'!U66,0,-4,,))-1),"")</f>
        <v>-2.4033356451526453</v>
      </c>
      <c r="V67" s="2">
        <f ca="1">IFERROR(IF(Inputs!$E$14 = "Semi-annual",('Interim Operational Data'!V66/OFFSET(V66,0,-2,,))-1,('Interim Operational Data'!V66/OFFSET('Interim Operational Data'!V66,0,-4,,))-1),"")</f>
        <v>-5.8438872763376333</v>
      </c>
      <c r="W67" s="2">
        <f ca="1">IFERROR(IF(Inputs!$E$14 = "Semi-annual",('Interim Operational Data'!W66/OFFSET(W66,0,-2,,))-1,('Interim Operational Data'!W66/OFFSET('Interim Operational Data'!W66,0,-4,,))-1),"")</f>
        <v>-151.92714344083694</v>
      </c>
      <c r="X67" s="2">
        <f ca="1">IFERROR(IF(Inputs!$E$14 = "Semi-annual",('Interim Operational Data'!X66/OFFSET(X66,0,-2,,))-1,('Interim Operational Data'!X66/OFFSET('Interim Operational Data'!X66,0,-4,,))-1),"")</f>
        <v>-8.8972679358417821</v>
      </c>
      <c r="Y67" s="2">
        <f ca="1">IFERROR(IF(Inputs!$E$14 = "Semi-annual",('Interim Operational Data'!Y66/OFFSET(Y66,0,-2,,))-1,('Interim Operational Data'!Y66/OFFSET('Interim Operational Data'!Y66,0,-4,,))-1),"")</f>
        <v>-14.279104552530322</v>
      </c>
      <c r="Z67" s="2">
        <f ca="1">IFERROR(IF(Inputs!$E$14 = "Semi-annual",('Interim Operational Data'!Z66/OFFSET(Z66,0,-2,,))-1,('Interim Operational Data'!Z66/OFFSET('Interim Operational Data'!Z66,0,-4,,))-1),"")</f>
        <v>-22.03235440977031</v>
      </c>
      <c r="AA67" s="2">
        <f ca="1">IFERROR(IF(Inputs!$E$14 = "Semi-annual",('Interim Operational Data'!AA66/OFFSET(AA66,0,-2,,))-1,('Interim Operational Data'!AA66/OFFSET('Interim Operational Data'!AA66,0,-4,,))-1),"")</f>
        <v>-1.0059896932190002</v>
      </c>
      <c r="AB67" s="2">
        <f ca="1">IFERROR(IF(Inputs!$E$14 = "Semi-annual",('Interim Operational Data'!AB66/OFFSET(AB66,0,-2,,))-1,('Interim Operational Data'!AB66/OFFSET('Interim Operational Data'!AB66,0,-4,,))-1),"")</f>
        <v>-1.0550229145915953</v>
      </c>
    </row>
    <row r="68" spans="1:28" x14ac:dyDescent="0.3">
      <c r="A68" s="85" t="s">
        <v>250</v>
      </c>
      <c r="B68" s="12" t="str">
        <f t="shared" ref="B68:M68" si="101">IFERROR(B24*1000000/B22,"N/A")</f>
        <v>N/A</v>
      </c>
      <c r="C68" s="12" t="str">
        <f t="shared" si="101"/>
        <v>N/A</v>
      </c>
      <c r="D68" s="12" t="str">
        <f t="shared" si="101"/>
        <v>N/A</v>
      </c>
      <c r="E68" s="212" t="str">
        <f t="shared" si="101"/>
        <v>N/A</v>
      </c>
      <c r="F68" s="12" t="str">
        <f t="shared" si="101"/>
        <v>N/A</v>
      </c>
      <c r="G68" s="12" t="str">
        <f t="shared" si="101"/>
        <v>N/A</v>
      </c>
      <c r="H68" s="12" t="str">
        <f t="shared" si="101"/>
        <v>N/A</v>
      </c>
      <c r="I68" s="212" t="str">
        <f t="shared" si="101"/>
        <v>N/A</v>
      </c>
      <c r="J68" s="12" t="str">
        <f t="shared" si="101"/>
        <v>N/A</v>
      </c>
      <c r="K68" s="12" t="str">
        <f t="shared" si="101"/>
        <v>N/A</v>
      </c>
      <c r="L68" s="12" t="str">
        <f t="shared" si="101"/>
        <v>N/A</v>
      </c>
      <c r="M68" s="212" t="str">
        <f t="shared" si="101"/>
        <v>N/A</v>
      </c>
      <c r="N68" s="12" t="str">
        <f t="shared" ref="N68:R68" si="102">IFERROR(N24*1000000/N22,"N/A")</f>
        <v>N/A</v>
      </c>
      <c r="O68" s="12" t="str">
        <f t="shared" si="102"/>
        <v>N/A</v>
      </c>
      <c r="P68" s="12" t="str">
        <f t="shared" si="102"/>
        <v>N/A</v>
      </c>
      <c r="Q68" s="212" t="str">
        <f t="shared" si="102"/>
        <v>N/A</v>
      </c>
      <c r="R68" s="12" t="str">
        <f t="shared" si="102"/>
        <v>N/A</v>
      </c>
      <c r="S68" s="12" t="str">
        <f t="shared" ref="S68:U68" si="103">IFERROR(S24*1000000/S22,"N/A")</f>
        <v>N/A</v>
      </c>
      <c r="T68" s="12" t="str">
        <f t="shared" si="103"/>
        <v>N/A</v>
      </c>
      <c r="U68" s="212" t="str">
        <f t="shared" si="103"/>
        <v>N/A</v>
      </c>
      <c r="V68" s="12" t="str">
        <f t="shared" ref="V68:W68" si="104">IFERROR(V24*1000000/V22,"N/A")</f>
        <v>N/A</v>
      </c>
      <c r="W68" s="12" t="str">
        <f t="shared" si="104"/>
        <v>N/A</v>
      </c>
      <c r="X68" s="12" t="str">
        <f t="shared" ref="X68:Y68" si="105">IFERROR(X24*1000000/X22,"N/A")</f>
        <v>N/A</v>
      </c>
      <c r="Y68" s="12" t="str">
        <f t="shared" si="105"/>
        <v>N/A</v>
      </c>
      <c r="Z68" s="12" t="str">
        <f t="shared" ref="Z68:AA68" si="106">IFERROR(Z24*1000000/Z22,"N/A")</f>
        <v>N/A</v>
      </c>
      <c r="AA68" s="12" t="str">
        <f t="shared" si="106"/>
        <v>N/A</v>
      </c>
      <c r="AB68" s="12" t="str">
        <f t="shared" ref="AB68" si="107">IFERROR(AB24*1000000/AB22,"N/A")</f>
        <v>N/A</v>
      </c>
    </row>
    <row r="69" spans="1:28" x14ac:dyDescent="0.3">
      <c r="A69" s="85" t="s">
        <v>0</v>
      </c>
      <c r="B69" s="5"/>
      <c r="C69" s="2" t="str">
        <f ca="1">IFERROR(IF(Inputs!$E$14 = "Semi-annual",('Interim Operational Data'!C68/OFFSET(C68,0,-2,,))-1,('Interim Operational Data'!C68/OFFSET('Interim Operational Data'!C68,0,-4,,))-1),"")</f>
        <v/>
      </c>
      <c r="D69" s="2" t="str">
        <f ca="1">IFERROR(IF(Inputs!$E$14 = "Semi-annual",('Interim Operational Data'!D68/OFFSET(D68,0,-2,,))-1,('Interim Operational Data'!D68/OFFSET('Interim Operational Data'!D68,0,-4,,))-1),"")</f>
        <v/>
      </c>
      <c r="E69" s="301" t="str">
        <f ca="1">IFERROR(IF(Inputs!$E$14 = "Semi-annual",('Interim Operational Data'!E68/OFFSET(E68,0,-2,,))-1,('Interim Operational Data'!E68/OFFSET('Interim Operational Data'!E68,0,-4,,))-1),"")</f>
        <v/>
      </c>
      <c r="F69" s="2" t="str">
        <f ca="1">IFERROR(IF(Inputs!$E$14 = "Semi-annual",('Interim Operational Data'!F68/OFFSET(F68,0,-2,,))-1,('Interim Operational Data'!F68/OFFSET('Interim Operational Data'!F68,0,-4,,))-1),"")</f>
        <v/>
      </c>
      <c r="G69" s="2" t="str">
        <f ca="1">IFERROR(IF(Inputs!$E$14 = "Semi-annual",('Interim Operational Data'!G68/OFFSET(G68,0,-2,,))-1,('Interim Operational Data'!G68/OFFSET('Interim Operational Data'!G68,0,-4,,))-1),"")</f>
        <v/>
      </c>
      <c r="H69" s="2" t="str">
        <f ca="1">IFERROR(IF(Inputs!$E$14 = "Semi-annual",('Interim Operational Data'!H68/OFFSET(H68,0,-2,,))-1,('Interim Operational Data'!H68/OFFSET('Interim Operational Data'!H68,0,-4,,))-1),"")</f>
        <v/>
      </c>
      <c r="I69" s="301" t="str">
        <f ca="1">IFERROR(IF(Inputs!$E$14 = "Semi-annual",('Interim Operational Data'!I68/OFFSET(I68,0,-2,,))-1,('Interim Operational Data'!I68/OFFSET('Interim Operational Data'!I68,0,-4,,))-1),"")</f>
        <v/>
      </c>
      <c r="J69" s="2" t="str">
        <f ca="1">IFERROR(IF(Inputs!$E$14 = "Semi-annual",('Interim Operational Data'!J68/OFFSET(J68,0,-2,,))-1,('Interim Operational Data'!J68/OFFSET('Interim Operational Data'!J68,0,-4,,))-1),"")</f>
        <v/>
      </c>
      <c r="K69" s="2" t="str">
        <f ca="1">IFERROR(IF(Inputs!$E$14 = "Semi-annual",('Interim Operational Data'!K68/OFFSET(K68,0,-2,,))-1,('Interim Operational Data'!K68/OFFSET('Interim Operational Data'!K68,0,-4,,))-1),"")</f>
        <v/>
      </c>
      <c r="L69" s="2" t="str">
        <f ca="1">IFERROR(IF(Inputs!$E$14 = "Semi-annual",('Interim Operational Data'!L68/OFFSET(L68,0,-2,,))-1,('Interim Operational Data'!L68/OFFSET('Interim Operational Data'!L68,0,-4,,))-1),"")</f>
        <v/>
      </c>
      <c r="M69" s="301" t="str">
        <f ca="1">IFERROR(IF(Inputs!$E$14 = "Semi-annual",('Interim Operational Data'!M68/OFFSET(M68,0,-2,,))-1,('Interim Operational Data'!M68/OFFSET('Interim Operational Data'!M68,0,-4,,))-1),"")</f>
        <v/>
      </c>
      <c r="N69" s="2" t="str">
        <f ca="1">IFERROR(IF(Inputs!$E$14 = "Semi-annual",('Interim Operational Data'!N68/OFFSET(N68,0,-2,,))-1,('Interim Operational Data'!N68/OFFSET('Interim Operational Data'!N68,0,-4,,))-1),"")</f>
        <v/>
      </c>
      <c r="O69" s="2" t="str">
        <f ca="1">IFERROR(IF(Inputs!$E$14 = "Semi-annual",('Interim Operational Data'!O68/OFFSET(O68,0,-2,,))-1,('Interim Operational Data'!O68/OFFSET('Interim Operational Data'!O68,0,-4,,))-1),"")</f>
        <v/>
      </c>
      <c r="P69" s="2" t="str">
        <f ca="1">IFERROR(IF(Inputs!$E$14 = "Semi-annual",('Interim Operational Data'!P68/OFFSET(P68,0,-2,,))-1,('Interim Operational Data'!P68/OFFSET('Interim Operational Data'!P68,0,-4,,))-1),"")</f>
        <v/>
      </c>
      <c r="Q69" s="301" t="str">
        <f ca="1">IFERROR(IF(Inputs!$E$14 = "Semi-annual",('Interim Operational Data'!Q68/OFFSET(Q68,0,-2,,))-1,('Interim Operational Data'!Q68/OFFSET('Interim Operational Data'!Q68,0,-4,,))-1),"")</f>
        <v/>
      </c>
      <c r="R69" s="2" t="str">
        <f ca="1">IFERROR(IF(Inputs!$E$14 = "Semi-annual",('Interim Operational Data'!R68/OFFSET(R68,0,-2,,))-1,('Interim Operational Data'!R68/OFFSET('Interim Operational Data'!R68,0,-4,,))-1),"")</f>
        <v/>
      </c>
      <c r="S69" s="2" t="str">
        <f ca="1">IFERROR(IF(Inputs!$E$14 = "Semi-annual",('Interim Operational Data'!S68/OFFSET(S68,0,-2,,))-1,('Interim Operational Data'!S68/OFFSET('Interim Operational Data'!S68,0,-4,,))-1),"")</f>
        <v/>
      </c>
      <c r="T69" s="2" t="str">
        <f ca="1">IFERROR(IF(Inputs!$E$14 = "Semi-annual",('Interim Operational Data'!T68/OFFSET(T68,0,-2,,))-1,('Interim Operational Data'!T68/OFFSET('Interim Operational Data'!T68,0,-4,,))-1),"")</f>
        <v/>
      </c>
      <c r="U69" s="301" t="str">
        <f ca="1">IFERROR(IF(Inputs!$E$14 = "Semi-annual",('Interim Operational Data'!U68/OFFSET(U68,0,-2,,))-1,('Interim Operational Data'!U68/OFFSET('Interim Operational Data'!U68,0,-4,,))-1),"")</f>
        <v/>
      </c>
      <c r="V69" s="2" t="str">
        <f ca="1">IFERROR(IF(Inputs!$E$14 = "Semi-annual",('Interim Operational Data'!V68/OFFSET(V68,0,-2,,))-1,('Interim Operational Data'!V68/OFFSET('Interim Operational Data'!V68,0,-4,,))-1),"")</f>
        <v/>
      </c>
      <c r="W69" s="2" t="str">
        <f ca="1">IFERROR(IF(Inputs!$E$14 = "Semi-annual",('Interim Operational Data'!W68/OFFSET(W68,0,-2,,))-1,('Interim Operational Data'!W68/OFFSET('Interim Operational Data'!W68,0,-4,,))-1),"")</f>
        <v/>
      </c>
      <c r="X69" s="2" t="str">
        <f ca="1">IFERROR(IF(Inputs!$E$14 = "Semi-annual",('Interim Operational Data'!X68/OFFSET(X68,0,-2,,))-1,('Interim Operational Data'!X68/OFFSET('Interim Operational Data'!X68,0,-4,,))-1),"")</f>
        <v/>
      </c>
      <c r="Y69" s="2" t="str">
        <f ca="1">IFERROR(IF(Inputs!$E$14 = "Semi-annual",('Interim Operational Data'!Y68/OFFSET(Y68,0,-2,,))-1,('Interim Operational Data'!Y68/OFFSET('Interim Operational Data'!Y68,0,-4,,))-1),"")</f>
        <v/>
      </c>
      <c r="Z69" s="2" t="str">
        <f ca="1">IFERROR(IF(Inputs!$E$14 = "Semi-annual",('Interim Operational Data'!Z68/OFFSET(Z68,0,-2,,))-1,('Interim Operational Data'!Z68/OFFSET('Interim Operational Data'!Z68,0,-4,,))-1),"")</f>
        <v/>
      </c>
      <c r="AA69" s="2" t="str">
        <f ca="1">IFERROR(IF(Inputs!$E$14 = "Semi-annual",('Interim Operational Data'!AA68/OFFSET(AA68,0,-2,,))-1,('Interim Operational Data'!AA68/OFFSET('Interim Operational Data'!AA68,0,-4,,))-1),"")</f>
        <v/>
      </c>
      <c r="AB69" s="2" t="str">
        <f ca="1">IFERROR(IF(Inputs!$E$14 = "Semi-annual",('Interim Operational Data'!AB68/OFFSET(AB68,0,-2,,))-1,('Interim Operational Data'!AB68/OFFSET('Interim Operational Data'!AB68,0,-4,,))-1),"")</f>
        <v/>
      </c>
    </row>
    <row r="70" spans="1:28" s="27" customFormat="1" x14ac:dyDescent="0.3">
      <c r="A70" s="26" t="s">
        <v>251</v>
      </c>
      <c r="B70" s="62"/>
      <c r="C70" s="62"/>
      <c r="D70" s="62"/>
      <c r="E70" s="217"/>
      <c r="F70" s="62"/>
      <c r="G70" s="62"/>
      <c r="H70" s="62"/>
      <c r="I70" s="217"/>
      <c r="J70" s="62"/>
      <c r="K70" s="62"/>
      <c r="L70" s="62"/>
      <c r="M70" s="217"/>
      <c r="N70" s="62"/>
      <c r="O70" s="62"/>
      <c r="P70" s="62"/>
      <c r="Q70" s="217"/>
      <c r="R70" s="62"/>
      <c r="S70" s="62"/>
      <c r="T70" s="62"/>
      <c r="U70" s="217"/>
      <c r="V70" s="62"/>
      <c r="W70" s="62"/>
      <c r="X70" s="62"/>
      <c r="Y70" s="62"/>
      <c r="Z70" s="62"/>
      <c r="AA70" s="62"/>
      <c r="AB70" s="62"/>
    </row>
    <row r="71" spans="1:28" s="27" customFormat="1" x14ac:dyDescent="0.3">
      <c r="A71" s="26" t="s">
        <v>0</v>
      </c>
      <c r="B71" s="62"/>
      <c r="C71" s="2" t="str">
        <f ca="1">IFERROR(IF(Inputs!$E$14 = "Semi-annual",('Interim Operational Data'!C70/OFFSET(C70,0,-2,,))-1,('Interim Operational Data'!C70/OFFSET('Interim Operational Data'!C70,0,-4,,))-1),"")</f>
        <v/>
      </c>
      <c r="D71" s="2" t="str">
        <f ca="1">IFERROR(IF(Inputs!$E$14 = "Semi-annual",('Interim Operational Data'!D70/OFFSET(D70,0,-2,,))-1,('Interim Operational Data'!D70/OFFSET('Interim Operational Data'!D70,0,-4,,))-1),"")</f>
        <v/>
      </c>
      <c r="E71" s="301" t="str">
        <f ca="1">IFERROR(IF(Inputs!$E$14 = "Semi-annual",('Interim Operational Data'!E70/OFFSET(E70,0,-2,,))-1,('Interim Operational Data'!E70/OFFSET('Interim Operational Data'!E70,0,-4,,))-1),"")</f>
        <v/>
      </c>
      <c r="F71" s="2" t="str">
        <f ca="1">IFERROR(IF(Inputs!$E$14 = "Semi-annual",('Interim Operational Data'!F70/OFFSET(F70,0,-2,,))-1,('Interim Operational Data'!F70/OFFSET('Interim Operational Data'!F70,0,-4,,))-1),"")</f>
        <v/>
      </c>
      <c r="G71" s="2" t="str">
        <f ca="1">IFERROR(IF(Inputs!$E$14 = "Semi-annual",('Interim Operational Data'!G70/OFFSET(G70,0,-2,,))-1,('Interim Operational Data'!G70/OFFSET('Interim Operational Data'!G70,0,-4,,))-1),"")</f>
        <v/>
      </c>
      <c r="H71" s="2" t="str">
        <f ca="1">IFERROR(IF(Inputs!$E$14 = "Semi-annual",('Interim Operational Data'!H70/OFFSET(H70,0,-2,,))-1,('Interim Operational Data'!H70/OFFSET('Interim Operational Data'!H70,0,-4,,))-1),"")</f>
        <v/>
      </c>
      <c r="I71" s="301" t="str">
        <f ca="1">IFERROR(IF(Inputs!$E$14 = "Semi-annual",('Interim Operational Data'!I70/OFFSET(I70,0,-2,,))-1,('Interim Operational Data'!I70/OFFSET('Interim Operational Data'!I70,0,-4,,))-1),"")</f>
        <v/>
      </c>
      <c r="J71" s="2" t="str">
        <f ca="1">IFERROR(IF(Inputs!$E$14 = "Semi-annual",('Interim Operational Data'!J70/OFFSET(J70,0,-2,,))-1,('Interim Operational Data'!J70/OFFSET('Interim Operational Data'!J70,0,-4,,))-1),"")</f>
        <v/>
      </c>
      <c r="K71" s="2" t="str">
        <f ca="1">IFERROR(IF(Inputs!$E$14 = "Semi-annual",('Interim Operational Data'!K70/OFFSET(K70,0,-2,,))-1,('Interim Operational Data'!K70/OFFSET('Interim Operational Data'!K70,0,-4,,))-1),"")</f>
        <v/>
      </c>
      <c r="L71" s="2" t="str">
        <f ca="1">IFERROR(IF(Inputs!$E$14 = "Semi-annual",('Interim Operational Data'!L70/OFFSET(L70,0,-2,,))-1,('Interim Operational Data'!L70/OFFSET('Interim Operational Data'!L70,0,-4,,))-1),"")</f>
        <v/>
      </c>
      <c r="M71" s="301" t="str">
        <f ca="1">IFERROR(IF(Inputs!$E$14 = "Semi-annual",('Interim Operational Data'!M70/OFFSET(M70,0,-2,,))-1,('Interim Operational Data'!M70/OFFSET('Interim Operational Data'!M70,0,-4,,))-1),"")</f>
        <v/>
      </c>
      <c r="N71" s="2" t="str">
        <f ca="1">IFERROR(IF(Inputs!$E$14 = "Semi-annual",('Interim Operational Data'!N70/OFFSET(N70,0,-2,,))-1,('Interim Operational Data'!N70/OFFSET('Interim Operational Data'!N70,0,-4,,))-1),"")</f>
        <v/>
      </c>
      <c r="O71" s="2" t="str">
        <f ca="1">IFERROR(IF(Inputs!$E$14 = "Semi-annual",('Interim Operational Data'!O70/OFFSET(O70,0,-2,,))-1,('Interim Operational Data'!O70/OFFSET('Interim Operational Data'!O70,0,-4,,))-1),"")</f>
        <v/>
      </c>
      <c r="P71" s="2" t="str">
        <f ca="1">IFERROR(IF(Inputs!$E$14 = "Semi-annual",('Interim Operational Data'!P70/OFFSET(P70,0,-2,,))-1,('Interim Operational Data'!P70/OFFSET('Interim Operational Data'!P70,0,-4,,))-1),"")</f>
        <v/>
      </c>
      <c r="Q71" s="301" t="str">
        <f ca="1">IFERROR(IF(Inputs!$E$14 = "Semi-annual",('Interim Operational Data'!Q70/OFFSET(Q70,0,-2,,))-1,('Interim Operational Data'!Q70/OFFSET('Interim Operational Data'!Q70,0,-4,,))-1),"")</f>
        <v/>
      </c>
      <c r="R71" s="2" t="str">
        <f ca="1">IFERROR(IF(Inputs!$E$14 = "Semi-annual",('Interim Operational Data'!R70/OFFSET(R70,0,-2,,))-1,('Interim Operational Data'!R70/OFFSET('Interim Operational Data'!R70,0,-4,,))-1),"")</f>
        <v/>
      </c>
      <c r="S71" s="2" t="str">
        <f ca="1">IFERROR(IF(Inputs!$E$14 = "Semi-annual",('Interim Operational Data'!S70/OFFSET(S70,0,-2,,))-1,('Interim Operational Data'!S70/OFFSET('Interim Operational Data'!S70,0,-4,,))-1),"")</f>
        <v/>
      </c>
      <c r="T71" s="2" t="str">
        <f ca="1">IFERROR(IF(Inputs!$E$14 = "Semi-annual",('Interim Operational Data'!T70/OFFSET(T70,0,-2,,))-1,('Interim Operational Data'!T70/OFFSET('Interim Operational Data'!T70,0,-4,,))-1),"")</f>
        <v/>
      </c>
      <c r="U71" s="301" t="str">
        <f ca="1">IFERROR(IF(Inputs!$E$14 = "Semi-annual",('Interim Operational Data'!U70/OFFSET(U70,0,-2,,))-1,('Interim Operational Data'!U70/OFFSET('Interim Operational Data'!U70,0,-4,,))-1),"")</f>
        <v/>
      </c>
      <c r="V71" s="2" t="str">
        <f ca="1">IFERROR(IF(Inputs!$E$14 = "Semi-annual",('Interim Operational Data'!V70/OFFSET(V70,0,-2,,))-1,('Interim Operational Data'!V70/OFFSET('Interim Operational Data'!V70,0,-4,,))-1),"")</f>
        <v/>
      </c>
      <c r="W71" s="2" t="str">
        <f ca="1">IFERROR(IF(Inputs!$E$14 = "Semi-annual",('Interim Operational Data'!W70/OFFSET(W70,0,-2,,))-1,('Interim Operational Data'!W70/OFFSET('Interim Operational Data'!W70,0,-4,,))-1),"")</f>
        <v/>
      </c>
      <c r="X71" s="2" t="str">
        <f ca="1">IFERROR(IF(Inputs!$E$14 = "Semi-annual",('Interim Operational Data'!X70/OFFSET(X70,0,-2,,))-1,('Interim Operational Data'!X70/OFFSET('Interim Operational Data'!X70,0,-4,,))-1),"")</f>
        <v/>
      </c>
      <c r="Y71" s="2" t="str">
        <f ca="1">IFERROR(IF(Inputs!$E$14 = "Semi-annual",('Interim Operational Data'!Y70/OFFSET(Y70,0,-2,,))-1,('Interim Operational Data'!Y70/OFFSET('Interim Operational Data'!Y70,0,-4,,))-1),"")</f>
        <v/>
      </c>
      <c r="Z71" s="2" t="str">
        <f ca="1">IFERROR(IF(Inputs!$E$14 = "Semi-annual",('Interim Operational Data'!Z70/OFFSET(Z70,0,-2,,))-1,('Interim Operational Data'!Z70/OFFSET('Interim Operational Data'!Z70,0,-4,,))-1),"")</f>
        <v/>
      </c>
      <c r="AA71" s="2" t="str">
        <f ca="1">IFERROR(IF(Inputs!$E$14 = "Semi-annual",('Interim Operational Data'!AA70/OFFSET(AA70,0,-2,,))-1,('Interim Operational Data'!AA70/OFFSET('Interim Operational Data'!AA70,0,-4,,))-1),"")</f>
        <v/>
      </c>
      <c r="AB71" s="2" t="str">
        <f ca="1">IFERROR(IF(Inputs!$E$14 = "Semi-annual",('Interim Operational Data'!AB70/OFFSET(AB70,0,-2,,))-1,('Interim Operational Data'!AB70/OFFSET('Interim Operational Data'!AB70,0,-4,,))-1),"")</f>
        <v/>
      </c>
    </row>
    <row r="72" spans="1:28" x14ac:dyDescent="0.3">
      <c r="A72" s="8" t="s">
        <v>252</v>
      </c>
      <c r="B72" s="10"/>
      <c r="C72" s="10"/>
      <c r="D72" s="10"/>
      <c r="E72" s="208"/>
      <c r="F72" s="10"/>
      <c r="G72" s="10"/>
      <c r="H72" s="10"/>
      <c r="I72" s="208"/>
      <c r="J72" s="10"/>
      <c r="K72" s="10"/>
      <c r="L72" s="10"/>
      <c r="M72" s="208"/>
      <c r="N72" s="10"/>
      <c r="O72" s="10"/>
      <c r="P72" s="10"/>
      <c r="Q72" s="208"/>
      <c r="R72" s="10"/>
      <c r="S72" s="10"/>
      <c r="T72" s="10"/>
      <c r="U72" s="208"/>
      <c r="V72" s="10"/>
      <c r="W72" s="10"/>
      <c r="X72" s="10"/>
      <c r="Y72" s="10"/>
      <c r="Z72" s="10"/>
      <c r="AA72" s="10"/>
      <c r="AB72" s="10"/>
    </row>
    <row r="73" spans="1:28" x14ac:dyDescent="0.3">
      <c r="A73" s="85" t="s">
        <v>449</v>
      </c>
      <c r="B73" s="5">
        <f>IFERROR(-'Interim Inc Statement US$'!D19*1000/'Interim Operational Data'!B27,"")</f>
        <v>12.665958760046491</v>
      </c>
      <c r="C73" s="5">
        <f>IFERROR(-'Interim Inc Statement US$'!E19*1000/'Interim Operational Data'!C27,"")</f>
        <v>10.621765760230279</v>
      </c>
      <c r="D73" s="5">
        <f>IFERROR(-'Interim Inc Statement US$'!F19*1000/'Interim Operational Data'!D27,"")</f>
        <v>11.29824850522791</v>
      </c>
      <c r="E73" s="213">
        <f>IFERROR(-'Interim Inc Statement US$'!G19*1000/'Interim Operational Data'!E27,"")</f>
        <v>13.616802066192403</v>
      </c>
      <c r="F73" s="5">
        <f>IFERROR(-'Interim Inc Statement US$'!H19*1000/'Interim Operational Data'!F27,"")</f>
        <v>13.79082243402455</v>
      </c>
      <c r="G73" s="5">
        <f>IFERROR(-'Interim Inc Statement US$'!I19*1000/'Interim Operational Data'!G27,"")</f>
        <v>11.883387763164357</v>
      </c>
      <c r="H73" s="5">
        <f>IFERROR(-'Interim Inc Statement US$'!J19*1000/'Interim Operational Data'!H27,"")</f>
        <v>11.620513851594691</v>
      </c>
      <c r="I73" s="213">
        <f>IFERROR(-'Interim Inc Statement US$'!K19*1000/'Interim Operational Data'!I27,"")</f>
        <v>13.782601826935817</v>
      </c>
      <c r="J73" s="5">
        <f>IFERROR(-'Interim Inc Statement US$'!L19*1000/'Interim Operational Data'!J27,"")</f>
        <v>14.894066303862399</v>
      </c>
      <c r="K73" s="5">
        <f>IFERROR(-'Interim Inc Statement US$'!M19*1000/'Interim Operational Data'!K27,"")</f>
        <v>11.183211059478426</v>
      </c>
      <c r="L73" s="5">
        <f>IFERROR(-'Interim Inc Statement US$'!N19*1000/'Interim Operational Data'!L27,"")</f>
        <v>10.684969736211402</v>
      </c>
      <c r="M73" s="213">
        <f>IFERROR(-'Interim Inc Statement US$'!O19*1000/'Interim Operational Data'!M27,"")</f>
        <v>13.626551705574412</v>
      </c>
      <c r="N73" s="5">
        <f>IFERROR(-'Interim Inc Statement US$'!P19*1000/'Interim Operational Data'!N27,"")</f>
        <v>15.558478517875541</v>
      </c>
      <c r="O73" s="5">
        <f>IFERROR(-'Interim Inc Statement US$'!Q19*1000/'Interim Operational Data'!O27,"")</f>
        <v>10.992842089393793</v>
      </c>
      <c r="P73" s="5">
        <f>IFERROR(-'Interim Inc Statement US$'!R19*1000/'Interim Operational Data'!P27,"")</f>
        <v>10.818734231227609</v>
      </c>
      <c r="Q73" s="213">
        <f>IFERROR(-'Interim Inc Statement US$'!S19*1000/'Interim Operational Data'!Q27,"")</f>
        <v>13.746704741530737</v>
      </c>
      <c r="R73" s="5">
        <f>IFERROR(-'Interim Inc Statement US$'!V19*1000/'Interim Operational Data'!R27,"")</f>
        <v>11.336935336257145</v>
      </c>
      <c r="S73" s="5">
        <f>IFERROR(-'Interim Inc Statement US$'!W19*1000/'Interim Operational Data'!S27,"")</f>
        <v>0.73023955171347965</v>
      </c>
      <c r="T73" s="5">
        <f>IFERROR(-'Interim Inc Statement US$'!X19*1000/'Interim Operational Data'!T27,"")</f>
        <v>1.5250783153768366</v>
      </c>
      <c r="U73" s="213">
        <f>IFERROR(-'Interim Inc Statement US$'!Y19*1000/'Interim Operational Data'!U27,"")</f>
        <v>1.6200244190019193</v>
      </c>
      <c r="V73" s="5">
        <f>IFERROR(-'Interim Inc Statement US$'!Z19*1000/'Interim Operational Data'!V27,"")</f>
        <v>1.8679921471945122</v>
      </c>
      <c r="W73" s="5">
        <f>IFERROR(-'Interim Inc Statement US$'!AA19*1000/'Interim Operational Data'!W27,"")</f>
        <v>73.450854700854705</v>
      </c>
      <c r="X73" s="5">
        <f>IFERROR(-'Interim Inc Statement US$'!AB19*1000/'Interim Operational Data'!X27,"")</f>
        <v>34.149979325417924</v>
      </c>
      <c r="Y73" s="5" t="str">
        <f>IFERROR(-'Interim Inc Statement US$'!AC19*1000/'Interim Operational Data'!Y27,"")</f>
        <v/>
      </c>
      <c r="Z73" s="5">
        <f>IFERROR(-'Interim Inc Statement US$'!AD19*1000/'Interim Operational Data'!Z27,"")</f>
        <v>0</v>
      </c>
      <c r="AA73" s="5">
        <f>IFERROR(-'Interim Inc Statement US$'!AE19*1000/'Interim Operational Data'!AA27,"")</f>
        <v>0</v>
      </c>
      <c r="AB73" s="5">
        <f>IFERROR(-'Interim Inc Statement US$'!AF19*1000/'Interim Operational Data'!AB27,"")</f>
        <v>0</v>
      </c>
    </row>
    <row r="74" spans="1:28" x14ac:dyDescent="0.3">
      <c r="A74" s="85"/>
      <c r="B74" s="218"/>
      <c r="C74" s="218"/>
      <c r="D74" s="218"/>
      <c r="E74" s="302"/>
      <c r="F74" s="218"/>
      <c r="G74" s="218"/>
      <c r="H74" s="218"/>
      <c r="I74" s="302"/>
      <c r="J74" s="218"/>
      <c r="K74" s="218"/>
      <c r="L74" s="218"/>
      <c r="M74" s="302"/>
      <c r="N74" s="218"/>
      <c r="O74" s="218"/>
      <c r="P74" s="218"/>
      <c r="Q74" s="302"/>
      <c r="R74" s="218"/>
      <c r="S74" s="218"/>
      <c r="T74" s="218"/>
      <c r="U74" s="302"/>
      <c r="V74" s="218"/>
      <c r="W74" s="218"/>
      <c r="X74" s="218"/>
      <c r="Y74" s="218"/>
      <c r="Z74" s="218"/>
      <c r="AA74" s="218"/>
      <c r="AB74" s="218"/>
    </row>
    <row r="75" spans="1:28" s="283" customFormat="1" x14ac:dyDescent="0.3">
      <c r="A75" s="270" t="s">
        <v>485</v>
      </c>
      <c r="B75" s="271"/>
      <c r="C75" s="271"/>
      <c r="D75" s="271"/>
      <c r="E75" s="303"/>
      <c r="F75" s="271"/>
      <c r="G75" s="271"/>
      <c r="H75" s="271"/>
      <c r="I75" s="303"/>
      <c r="J75" s="271"/>
      <c r="M75" s="305"/>
      <c r="N75" s="271"/>
      <c r="O75" s="271"/>
      <c r="Q75" s="305"/>
      <c r="U75" s="305"/>
    </row>
    <row r="76" spans="1:28" x14ac:dyDescent="0.3">
      <c r="A76" s="85" t="s">
        <v>582</v>
      </c>
      <c r="B76" s="267">
        <f>IFERROR(B27/'Annual Operational Data'!$G$27,"")</f>
        <v>0.23068132081894666</v>
      </c>
      <c r="C76" s="267">
        <f>IFERROR(C27/'Annual Operational Data'!$G$27,"")</f>
        <v>0.24872343529640617</v>
      </c>
      <c r="D76" s="267">
        <f>IFERROR(D27/'Annual Operational Data'!$G$27,"")</f>
        <v>0.28505081943296212</v>
      </c>
      <c r="E76" s="304">
        <f>IFERROR(E27/'Annual Operational Data'!$G$27,"")</f>
        <v>0.23552010893352138</v>
      </c>
      <c r="F76" s="267">
        <f>IFERROR(F27/'Annual Operational Data'!$H$27,"")</f>
        <v>0.22201163905549734</v>
      </c>
      <c r="G76" s="267">
        <f>IFERROR(G27/'Annual Operational Data'!$H$27,"")</f>
        <v>0.24183370866685991</v>
      </c>
      <c r="H76" s="267">
        <f>IFERROR(H27/'Annual Operational Data'!$H$27,"")</f>
        <v>0.29715266784097749</v>
      </c>
      <c r="I76" s="304">
        <f>IFERROR(I27/'Annual Operational Data'!$H$27,"")</f>
        <v>0.23900198443666526</v>
      </c>
      <c r="J76" s="267">
        <f>IFERROR(J27/'Annual Operational Data'!$M$27,"")</f>
        <v>1.2163456185280035</v>
      </c>
      <c r="K76" s="267">
        <f>IFERROR(K27/'Annual Operational Data'!$M$27,"")</f>
        <v>1.3244627547043759</v>
      </c>
      <c r="L76" s="267">
        <f>IFERROR(L27/'Annual Operational Data'!$M$27,"")</f>
        <v>1.5580670303975059</v>
      </c>
      <c r="M76" s="304">
        <f>IFERROR(M27/'Annual Operational Data'!$M$27,"")</f>
        <v>1.2597706268789668</v>
      </c>
      <c r="N76" s="267">
        <f>IFERROR(N27/'Annual Operational Data'!$H$27,"")</f>
        <v>0.25984971794242906</v>
      </c>
      <c r="O76" s="267">
        <f>IFERROR(O27/'Annual Operational Data'!$M$27,"")</f>
        <v>1.3957243068700591</v>
      </c>
      <c r="P76" s="267">
        <f>IFERROR(P27/'Annual Operational Data'!$M$27,"")</f>
        <v>1.6485914708829752</v>
      </c>
      <c r="Q76" s="304">
        <f>IFERROR(Q27/'Annual Operational Data'!$M$27,"")</f>
        <v>1.3260216011580002</v>
      </c>
      <c r="R76" s="267">
        <f>IFERROR(R27/'Annual Operational Data'!$M$27,"")</f>
        <v>1.3396058345395836</v>
      </c>
      <c r="S76" s="267">
        <f>IFERROR(S27/'Annual Operational Data'!$M$27,"")</f>
        <v>1.4293508517982407</v>
      </c>
      <c r="T76" s="267">
        <f>IFERROR(T27/'Annual Operational Data'!$M$27,"")</f>
        <v>1.6286605055116357</v>
      </c>
      <c r="U76" s="304">
        <f>IFERROR(U27/'Annual Operational Data'!$M$27,"")</f>
        <v>1.3414987195189845</v>
      </c>
      <c r="V76" s="267">
        <f>IFERROR(V27/'Annual Operational Data'!$M$27,"")</f>
        <v>1.1053334817949003</v>
      </c>
      <c r="W76" s="267">
        <f>IFERROR(W27/'Annual Operational Data'!$M$27,"")</f>
        <v>5.3446164124262334E-2</v>
      </c>
      <c r="X76" s="267">
        <f>IFERROR(X27/'Annual Operational Data'!$M$27,"")</f>
        <v>0.19240619084734439</v>
      </c>
      <c r="Y76" s="267">
        <f>IFERROR(Y27/'Annual Operational Data'!$M$27,"")</f>
        <v>0.18093753479567976</v>
      </c>
      <c r="Z76" s="267">
        <f>IFERROR(Z27/'Annual Operational Data'!$M$27,"")</f>
        <v>0.12515310099098095</v>
      </c>
      <c r="AA76" s="267">
        <f>IFERROR(AA27/'Annual Operational Data'!$M$27,"")</f>
        <v>0.12971829417659503</v>
      </c>
      <c r="AB76" s="267">
        <f>IFERROR(AB27/'Annual Operational Data'!$M$27,"")</f>
        <v>0.56419107003674429</v>
      </c>
    </row>
    <row r="77" spans="1:28" x14ac:dyDescent="0.3">
      <c r="A77" s="85" t="s">
        <v>588</v>
      </c>
      <c r="B77" s="267">
        <f>IFERROR('Interim Revenue Analysis US$'!B9/'Revenue Analysis US$'!$G$9,"")</f>
        <v>0.23143456553540051</v>
      </c>
      <c r="C77" s="267">
        <f>IFERROR('Interim Revenue Analysis US$'!C9/'Revenue Analysis US$'!$G$9,"")</f>
        <v>0.25782650509365801</v>
      </c>
      <c r="D77" s="267">
        <f>IFERROR('Interim Revenue Analysis US$'!D9/'Revenue Analysis US$'!$G$9,"")</f>
        <v>0.29256780149502581</v>
      </c>
      <c r="E77" s="304">
        <f>IFERROR('Interim Revenue Analysis US$'!E9/'Revenue Analysis US$'!$G$9,"")</f>
        <v>0.21860073997622673</v>
      </c>
      <c r="F77" s="267">
        <f>IFERROR('Interim Revenue Analysis US$'!F9/'Revenue Analysis US$'!$H$9,"")</f>
        <v>0.21008079578779687</v>
      </c>
      <c r="G77" s="267">
        <f>IFERROR('Interim Revenue Analysis US$'!G9/'Revenue Analysis US$'!$H$9,"")</f>
        <v>0.24578189556865679</v>
      </c>
      <c r="H77" s="267">
        <f>IFERROR('Interim Revenue Analysis US$'!H9/'Revenue Analysis US$'!$H$9,"")</f>
        <v>0.31748223447757407</v>
      </c>
      <c r="I77" s="304">
        <f>IFERROR('Interim Revenue Analysis US$'!I9/'Revenue Analysis US$'!$H$9,"")</f>
        <v>0.22923184911711528</v>
      </c>
      <c r="J77" s="267">
        <f>IFERROR('Interim Revenue Analysis US$'!J9/'Revenue Analysis US$'!$M$9,"")</f>
        <v>1.0355616415913993</v>
      </c>
      <c r="K77" s="267">
        <f>IFERROR('Interim Revenue Analysis US$'!K9/'Revenue Analysis US$'!$M$9,"")</f>
        <v>1.1564216271619718</v>
      </c>
      <c r="L77" s="267">
        <f>IFERROR('Interim Revenue Analysis US$'!L9/'Revenue Analysis US$'!$M$9,"")</f>
        <v>1.5818318971656451</v>
      </c>
      <c r="M77" s="304">
        <f>IFERROR('Interim Revenue Analysis US$'!M9/'Revenue Analysis US$'!$M$9,"")</f>
        <v>1.1786934399471185</v>
      </c>
      <c r="N77" s="267">
        <f>IFERROR('Interim Revenue Analysis US$'!N9/'Revenue Analysis US$'!$H$9,"")</f>
        <v>0.27820064735147093</v>
      </c>
      <c r="O77" s="267">
        <f>IFERROR('Interim Revenue Analysis US$'!O9/'Revenue Analysis US$'!$M$9,"")</f>
        <v>1.3454183334568488</v>
      </c>
      <c r="P77" s="267">
        <f>IFERROR('Interim Revenue Analysis US$'!P9/'Revenue Analysis US$'!$M$9,"")</f>
        <v>1.7003404316734709</v>
      </c>
      <c r="Q77" s="304">
        <f>IFERROR('Interim Revenue Analysis US$'!Q9/'Revenue Analysis US$'!$M$9,"")</f>
        <v>1.2725831031339889</v>
      </c>
      <c r="R77" s="267">
        <f>IFERROR('Interim Revenue Analysis US$'!V9/'Revenue Analysis US$'!$M$9,"")</f>
        <v>1.0540389451040386</v>
      </c>
      <c r="S77" s="267">
        <f>IFERROR('Interim Revenue Analysis US$'!W9/'Revenue Analysis US$'!$M$9,"")</f>
        <v>6.6110024592330438E-2</v>
      </c>
      <c r="T77" s="267">
        <f>IFERROR('Interim Revenue Analysis US$'!X9/'Revenue Analysis US$'!$M$9,"")</f>
        <v>0.16697272871736812</v>
      </c>
      <c r="U77" s="304">
        <f>IFERROR('Interim Revenue Analysis US$'!Y9/'Revenue Analysis US$'!$M$9,"")</f>
        <v>0.15793130132412045</v>
      </c>
      <c r="V77" s="267">
        <f>IFERROR('Interim Revenue Analysis US$'!Z9/'Revenue Analysis US$'!$M$9,"")</f>
        <v>0</v>
      </c>
      <c r="W77" s="267">
        <f>IFERROR('Interim Revenue Analysis US$'!AA9/'Revenue Analysis US$'!$M$9,"")</f>
        <v>0</v>
      </c>
      <c r="X77" s="267">
        <f>IFERROR('Interim Revenue Analysis US$'!AB9/'Revenue Analysis US$'!$M$9,"")</f>
        <v>0</v>
      </c>
      <c r="Y77" s="267">
        <f>IFERROR('Interim Revenue Analysis US$'!AC9/'Revenue Analysis US$'!$M$9,"")</f>
        <v>0</v>
      </c>
      <c r="Z77" s="267">
        <f>IFERROR('Interim Revenue Analysis US$'!AD9/'Revenue Analysis US$'!$M$9,"")</f>
        <v>0</v>
      </c>
      <c r="AA77" s="267">
        <f>IFERROR('Interim Revenue Analysis US$'!AE9/'Revenue Analysis US$'!$M$9,"")</f>
        <v>0</v>
      </c>
      <c r="AB77" s="267">
        <f>IFERROR('Interim Revenue Analysis US$'!AF9/'Revenue Analysis US$'!$M$9,"")</f>
        <v>0</v>
      </c>
    </row>
    <row r="78" spans="1:28" x14ac:dyDescent="0.3">
      <c r="A78" s="85" t="s">
        <v>583</v>
      </c>
      <c r="B78" s="267">
        <f>IFERROR(B33/'Annual Operational Data'!$G$33,"")</f>
        <v>0.22671909584399846</v>
      </c>
      <c r="C78" s="267">
        <f>IFERROR(C33/'Annual Operational Data'!$G$33,"")</f>
        <v>0.2489396693499524</v>
      </c>
      <c r="D78" s="267">
        <f>IFERROR(D33/'Annual Operational Data'!$G$33,"")</f>
        <v>0.29101903030752679</v>
      </c>
      <c r="E78" s="304">
        <f>IFERROR(E33/'Annual Operational Data'!$G$33,"")</f>
        <v>0.23332220449852234</v>
      </c>
      <c r="F78" s="267">
        <f>IFERROR(F33/'Annual Operational Data'!$H$33,"")</f>
        <v>0.21388822983844877</v>
      </c>
      <c r="G78" s="267">
        <f>IFERROR(G33/'Annual Operational Data'!$H$33,"")</f>
        <v>0.24096801328645687</v>
      </c>
      <c r="H78" s="267">
        <f>IFERROR(H33/'Annual Operational Data'!$H$33,"")</f>
        <v>0.3069042124107586</v>
      </c>
      <c r="I78" s="304">
        <f>IFERROR(I33/'Annual Operational Data'!$H$33,"")</f>
        <v>0.23823954446433579</v>
      </c>
      <c r="J78" s="267">
        <f>IFERROR(J33/'Annual Operational Data'!$M$33,"")</f>
        <v>0.90393651044340029</v>
      </c>
      <c r="K78" s="267">
        <f>IFERROR(K33/'Annual Operational Data'!$M$33,"")</f>
        <v>1.001184506652979</v>
      </c>
      <c r="L78" s="267">
        <f>IFERROR(L33/'Annual Operational Data'!$M$33,"")</f>
        <v>1.2259643858333005</v>
      </c>
      <c r="M78" s="304">
        <f>IFERROR(M33/'Annual Operational Data'!$M$33,"")</f>
        <v>0.95514668140719394</v>
      </c>
      <c r="N78" s="267">
        <f>IFERROR(N33/'Annual Operational Data'!$H$33,"")</f>
        <v>0.2681232879666976</v>
      </c>
      <c r="O78" s="267">
        <f>IFERROR(O33/'Annual Operational Data'!$M$33,"")</f>
        <v>1.0766770640028429</v>
      </c>
      <c r="P78" s="267">
        <f>IFERROR(P33/'Annual Operational Data'!$M$33,"")</f>
        <v>1.3083665653255419</v>
      </c>
      <c r="Q78" s="304">
        <f>IFERROR(Q33/'Annual Operational Data'!$M$33,"")</f>
        <v>1.0107000434319107</v>
      </c>
      <c r="R78" s="267">
        <f>IFERROR(R33/'Annual Operational Data'!$M$33,"")</f>
        <v>1.0272041694634184</v>
      </c>
      <c r="S78" s="267">
        <f>IFERROR(S33/'Annual Operational Data'!$M$33,"")</f>
        <v>1.1019860228214948</v>
      </c>
      <c r="T78" s="267">
        <f>IFERROR(T33/'Annual Operational Data'!$M$33,"")</f>
        <v>1.2815177478580171</v>
      </c>
      <c r="U78" s="304">
        <f>IFERROR(U33/'Annual Operational Data'!$M$33,"")</f>
        <v>1.0435898448296284</v>
      </c>
      <c r="V78" s="267">
        <f>IFERROR(V33/'Annual Operational Data'!$M$33,"")</f>
        <v>0.92829786393966918</v>
      </c>
      <c r="W78" s="267">
        <f>IFERROR(W33/'Annual Operational Data'!$M$33,"")</f>
        <v>8.8561614087732457E-2</v>
      </c>
      <c r="X78" s="267">
        <f>IFERROR(X33/'Annual Operational Data'!$M$33,"")</f>
        <v>0.23488766928574248</v>
      </c>
      <c r="Y78" s="267">
        <f>IFERROR(Y33/'Annual Operational Data'!$M$33,"")</f>
        <v>0.23690133059580684</v>
      </c>
      <c r="Z78" s="267">
        <f>IFERROR(Z33/'Annual Operational Data'!$M$33,"")</f>
        <v>0.1662652505231571</v>
      </c>
      <c r="AA78" s="267">
        <f>IFERROR(AA33/'Annual Operational Data'!$M$33,"")</f>
        <v>0.15793422039720456</v>
      </c>
      <c r="AB78" s="267">
        <f>IFERROR(AB33/'Annual Operational Data'!$M$33,"")</f>
        <v>0.43889919848383147</v>
      </c>
    </row>
    <row r="79" spans="1:28" x14ac:dyDescent="0.3">
      <c r="A79" s="85"/>
      <c r="B79" s="218"/>
      <c r="C79" s="218"/>
      <c r="D79" s="218"/>
      <c r="E79" s="302"/>
      <c r="F79" s="218"/>
      <c r="G79" s="218"/>
      <c r="H79" s="218"/>
      <c r="I79" s="302"/>
      <c r="J79" s="218"/>
      <c r="K79" s="218"/>
      <c r="L79" s="218"/>
      <c r="M79" s="302"/>
      <c r="N79" s="218"/>
      <c r="O79" s="218"/>
      <c r="P79" s="218"/>
      <c r="Q79" s="302"/>
      <c r="R79" s="218"/>
      <c r="S79" s="218"/>
      <c r="T79" s="218"/>
      <c r="U79" s="302"/>
      <c r="V79" s="218"/>
      <c r="W79" s="218"/>
      <c r="X79" s="218"/>
      <c r="Y79" s="218"/>
      <c r="Z79" s="218"/>
      <c r="AA79" s="218"/>
      <c r="AB79" s="218"/>
    </row>
    <row r="80" spans="1:28" x14ac:dyDescent="0.3">
      <c r="A80" s="85" t="s">
        <v>584</v>
      </c>
      <c r="B80" s="267">
        <f>IFERROR('Interim Cost Analysis US$'!B9/'Cost Analysis US$'!$G$9,"")</f>
        <v>0.25216274213509998</v>
      </c>
      <c r="C80" s="267">
        <f>IFERROR('Interim Cost Analysis US$'!C9/'Cost Analysis US$'!$G$9,"")</f>
        <v>0.25393860829991655</v>
      </c>
      <c r="D80" s="267">
        <f>IFERROR('Interim Cost Analysis US$'!D9/'Cost Analysis US$'!$G$9,"")</f>
        <v>0.25161555099590227</v>
      </c>
      <c r="E80" s="304">
        <f>IFERROR('Interim Cost Analysis US$'!E9/'Cost Analysis US$'!$G$9,"")</f>
        <v>0.24304287000881739</v>
      </c>
      <c r="F80" s="267">
        <f>IFERROR('Interim Cost Analysis US$'!F9/'Cost Analysis US$'!$H$9,"")</f>
        <v>0.23361616665112117</v>
      </c>
      <c r="G80" s="267">
        <f>IFERROR('Interim Cost Analysis US$'!G9/'Cost Analysis US$'!$H$9,"")</f>
        <v>0.25028377254638123</v>
      </c>
      <c r="H80" s="267">
        <f>IFERROR('Interim Cost Analysis US$'!H9/'Cost Analysis US$'!$H$9,"")</f>
        <v>0.26650928906328247</v>
      </c>
      <c r="I80" s="304">
        <f>IFERROR('Interim Cost Analysis US$'!I9/'Cost Analysis US$'!$H$9,"")</f>
        <v>0.25044129812708699</v>
      </c>
      <c r="J80" s="267">
        <f>IFERROR('Interim Cost Analysis US$'!J9/'Cost Analysis US$'!$M$9,"")</f>
        <v>0.35275205251639868</v>
      </c>
      <c r="K80" s="267">
        <f>IFERROR('Interim Cost Analysis US$'!K9/'Cost Analysis US$'!$M$9,"")</f>
        <v>0.35688290499764347</v>
      </c>
      <c r="L80" s="267">
        <f>IFERROR('Interim Cost Analysis US$'!L9/'Cost Analysis US$'!$M$9,"")</f>
        <v>0.3828270431468746</v>
      </c>
      <c r="M80" s="304">
        <f>IFERROR('Interim Cost Analysis US$'!M9/'Cost Analysis US$'!$M$9,"")</f>
        <v>0.40064634759444401</v>
      </c>
      <c r="N80" s="267">
        <f>IFERROR('Interim Cost Analysis US$'!N9/'Cost Analysis US$'!$H$9,"")</f>
        <v>0.29237563680091883</v>
      </c>
      <c r="O80" s="267">
        <f>IFERROR('Interim Cost Analysis US$'!O9/'Cost Analysis US$'!$M$9,"")</f>
        <v>0.39939118923095834</v>
      </c>
      <c r="P80" s="267">
        <f>IFERROR('Interim Cost Analysis US$'!P9/'Cost Analysis US$'!$M$9,"")</f>
        <v>0.41215675185527484</v>
      </c>
      <c r="Q80" s="304">
        <f>IFERROR('Interim Cost Analysis US$'!Q9/'Cost Analysis US$'!$M$9,"")</f>
        <v>0.39470410468115541</v>
      </c>
      <c r="R80" s="267">
        <f>IFERROR('Interim Cost Analysis US$'!V9/'Cost Analysis US$'!$M$9,"")</f>
        <v>0.43016907638863361</v>
      </c>
      <c r="S80" s="267">
        <f>IFERROR('Interim Cost Analysis US$'!W9/'Cost Analysis US$'!$M$9,"")</f>
        <v>0.1955406054619922</v>
      </c>
      <c r="T80" s="267">
        <f>IFERROR('Interim Cost Analysis US$'!X9/'Cost Analysis US$'!$M$9,"")</f>
        <v>0.15419560613874375</v>
      </c>
      <c r="U80" s="304">
        <f>IFERROR('Interim Cost Analysis US$'!Y9/'Cost Analysis US$'!$M$9,"")</f>
        <v>0.1954057922338632</v>
      </c>
      <c r="V80" s="267">
        <f>IFERROR('Interim Cost Analysis US$'!Z9/'Cost Analysis US$'!$M$9,"")</f>
        <v>0</v>
      </c>
      <c r="W80" s="267">
        <f>IFERROR('Interim Cost Analysis US$'!AA9/'Cost Analysis US$'!$M$9,"")</f>
        <v>0</v>
      </c>
      <c r="X80" s="267">
        <f>IFERROR('Interim Cost Analysis US$'!AB9/'Cost Analysis US$'!$M$9,"")</f>
        <v>0</v>
      </c>
      <c r="Y80" s="267">
        <f>IFERROR('Interim Cost Analysis US$'!AC9/'Cost Analysis US$'!$M$9,"")</f>
        <v>0</v>
      </c>
      <c r="Z80" s="267">
        <f>IFERROR('Interim Cost Analysis US$'!AD9/'Cost Analysis US$'!$M$9,"")</f>
        <v>0</v>
      </c>
      <c r="AA80" s="267">
        <f>IFERROR('Interim Cost Analysis US$'!AE9/'Cost Analysis US$'!$M$9,"")</f>
        <v>0</v>
      </c>
      <c r="AB80" s="267">
        <f>IFERROR('Interim Cost Analysis US$'!AF9/'Cost Analysis US$'!$M$9,"")</f>
        <v>0</v>
      </c>
    </row>
    <row r="81" spans="1:28" x14ac:dyDescent="0.3">
      <c r="A81" s="85" t="s">
        <v>585</v>
      </c>
      <c r="B81" s="267">
        <f>IFERROR('Interim Cost Analysis US$'!B13/'Cost Analysis US$'!$G$13,"")</f>
        <v>0.25092680791805022</v>
      </c>
      <c r="C81" s="267">
        <f>IFERROR('Interim Cost Analysis US$'!C13/'Cost Analysis US$'!$G$13,"")</f>
        <v>0.25538220368992021</v>
      </c>
      <c r="D81" s="267">
        <f>IFERROR('Interim Cost Analysis US$'!D13/'Cost Analysis US$'!$G$13,"")</f>
        <v>0.24288134181376375</v>
      </c>
      <c r="E81" s="304">
        <f>IFERROR('Interim Cost Analysis US$'!E13/'Cost Analysis US$'!$G$13,"")</f>
        <v>0.25141057484552765</v>
      </c>
      <c r="F81" s="267">
        <f>IFERROR('Interim Cost Analysis US$'!F13/'Cost Analysis US$'!$H$13,"")</f>
        <v>0.24220473946442028</v>
      </c>
      <c r="G81" s="267">
        <f>IFERROR('Interim Cost Analysis US$'!G13/'Cost Analysis US$'!$H$13,"")</f>
        <v>0.27924180239705526</v>
      </c>
      <c r="H81" s="267">
        <f>IFERROR('Interim Cost Analysis US$'!H13/'Cost Analysis US$'!$H$13,"")</f>
        <v>0.26224267344153507</v>
      </c>
      <c r="I81" s="304">
        <f>IFERROR('Interim Cost Analysis US$'!I13/'Cost Analysis US$'!$H$13,"")</f>
        <v>0.21779634864947717</v>
      </c>
      <c r="J81" s="267">
        <f>IFERROR('Interim Cost Analysis US$'!J13/'Cost Analysis US$'!$M$13,"")</f>
        <v>0.36369639736647574</v>
      </c>
      <c r="K81" s="267">
        <f>IFERROR('Interim Cost Analysis US$'!K13/'Cost Analysis US$'!$M$13,"")</f>
        <v>0.35427550533857233</v>
      </c>
      <c r="L81" s="267">
        <f>IFERROR('Interim Cost Analysis US$'!L13/'Cost Analysis US$'!$M$13,"")</f>
        <v>0.40586549618187956</v>
      </c>
      <c r="M81" s="304">
        <f>IFERROR('Interim Cost Analysis US$'!M13/'Cost Analysis US$'!$M$13,"")</f>
        <v>0.40387857891650053</v>
      </c>
      <c r="N81" s="267">
        <f>IFERROR('Interim Cost Analysis US$'!N13/'Cost Analysis US$'!$H$13,"")</f>
        <v>0.3049819629590883</v>
      </c>
      <c r="O81" s="267">
        <f>IFERROR('Interim Cost Analysis US$'!O13/'Cost Analysis US$'!$M$13,"")</f>
        <v>0.35989186507216958</v>
      </c>
      <c r="P81" s="267">
        <f>IFERROR('Interim Cost Analysis US$'!P13/'Cost Analysis US$'!$M$13,"")</f>
        <v>0.44748022123595799</v>
      </c>
      <c r="Q81" s="304">
        <f>IFERROR('Interim Cost Analysis US$'!Q13/'Cost Analysis US$'!$M$13,"")</f>
        <v>0.39967154668518229</v>
      </c>
      <c r="R81" s="267">
        <f>IFERROR('Interim Cost Analysis US$'!V13/'Cost Analysis US$'!$M$13,"")</f>
        <v>0.42492311204243077</v>
      </c>
      <c r="S81" s="267">
        <f>IFERROR('Interim Cost Analysis US$'!W13/'Cost Analysis US$'!$M$13,"")</f>
        <v>0.27559059872709657</v>
      </c>
      <c r="T81" s="267">
        <f>IFERROR('Interim Cost Analysis US$'!X13/'Cost Analysis US$'!$M$13,"")</f>
        <v>7.0654357136574295E-2</v>
      </c>
      <c r="U81" s="304">
        <f>IFERROR('Interim Cost Analysis US$'!Y13/'Cost Analysis US$'!$M$13,"")</f>
        <v>0.2932480837457575</v>
      </c>
      <c r="V81" s="267">
        <f>IFERROR('Interim Cost Analysis US$'!Z13/'Cost Analysis US$'!$M$13,"")</f>
        <v>0</v>
      </c>
      <c r="W81" s="267">
        <f>IFERROR('Interim Cost Analysis US$'!AA13/'Cost Analysis US$'!$M$13,"")</f>
        <v>0</v>
      </c>
      <c r="X81" s="267">
        <f>IFERROR('Interim Cost Analysis US$'!AB13/'Cost Analysis US$'!$M$13,"")</f>
        <v>0</v>
      </c>
      <c r="Y81" s="267">
        <f>IFERROR('Interim Cost Analysis US$'!AC13/'Cost Analysis US$'!$M$13,"")</f>
        <v>0</v>
      </c>
      <c r="Z81" s="267">
        <f>IFERROR('Interim Cost Analysis US$'!AD13/'Cost Analysis US$'!$M$13,"")</f>
        <v>0</v>
      </c>
      <c r="AA81" s="267">
        <f>IFERROR('Interim Cost Analysis US$'!AE13/'Cost Analysis US$'!$M$13,"")</f>
        <v>0</v>
      </c>
      <c r="AB81" s="267">
        <f>IFERROR('Interim Cost Analysis US$'!AF13/'Cost Analysis US$'!$M$13,"")</f>
        <v>0</v>
      </c>
    </row>
    <row r="82" spans="1:28" x14ac:dyDescent="0.3">
      <c r="A82" s="85"/>
      <c r="B82" s="218"/>
      <c r="C82" s="218"/>
      <c r="D82" s="218"/>
      <c r="E82" s="302"/>
      <c r="F82" s="218"/>
      <c r="G82" s="218"/>
      <c r="H82" s="218"/>
      <c r="I82" s="302"/>
      <c r="J82" s="218"/>
      <c r="K82" s="218"/>
      <c r="L82" s="218"/>
      <c r="M82" s="302"/>
      <c r="N82" s="218"/>
      <c r="O82" s="218"/>
      <c r="P82" s="218"/>
      <c r="Q82" s="218"/>
      <c r="R82" s="218"/>
      <c r="S82" s="218"/>
      <c r="T82" s="218"/>
      <c r="U82" s="218"/>
      <c r="V82" s="218"/>
      <c r="W82" s="218"/>
      <c r="X82" s="218"/>
      <c r="Y82" s="218"/>
    </row>
    <row r="85" spans="1:28" x14ac:dyDescent="0.3">
      <c r="J85" s="263"/>
      <c r="K85" s="263"/>
      <c r="O85" s="263"/>
      <c r="P85" s="263"/>
    </row>
    <row r="87" spans="1:28" x14ac:dyDescent="0.3">
      <c r="J87" s="286"/>
      <c r="K87" s="286"/>
      <c r="O87" s="286"/>
      <c r="P87" s="286"/>
    </row>
    <row r="89" spans="1:28" x14ac:dyDescent="0.3">
      <c r="K89" s="288"/>
      <c r="P89" s="288"/>
    </row>
    <row r="90" spans="1:28" x14ac:dyDescent="0.3">
      <c r="K90" s="286"/>
      <c r="P90" s="286"/>
    </row>
    <row r="91" spans="1:28" x14ac:dyDescent="0.3">
      <c r="K91" s="267"/>
      <c r="P91" s="267"/>
    </row>
  </sheetData>
  <mergeCells count="1">
    <mergeCell ref="A1:R1"/>
  </mergeCells>
  <pageMargins left="0.70866141732283472" right="0.70866141732283472" top="0.74803149606299213" bottom="0.74803149606299213" header="0.31496062992125984" footer="0.31496062992125984"/>
  <pageSetup paperSize="9" scale="63" fitToWidth="2" pageOrder="overThenDown" orientation="portrait" r:id="rId1"/>
  <headerFooter alignWithMargins="0"/>
  <colBreaks count="1" manualBreakCount="1">
    <brk id="10" max="7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sheetPr>
  <dimension ref="A1:Z93"/>
  <sheetViews>
    <sheetView zoomScaleNormal="100" workbookViewId="0">
      <pane xSplit="1" ySplit="7" topLeftCell="B29" activePane="bottomRight" state="frozen"/>
      <selection pane="topRight" activeCell="B1" sqref="B1"/>
      <selection pane="bottomLeft" activeCell="A8" sqref="A8"/>
      <selection pane="bottomRight" activeCell="K39" sqref="K39"/>
    </sheetView>
  </sheetViews>
  <sheetFormatPr defaultColWidth="8.88671875" defaultRowHeight="14.4" x14ac:dyDescent="0.3"/>
  <cols>
    <col min="1" max="1" width="36.44140625" style="13" bestFit="1" customWidth="1"/>
    <col min="2" max="3" width="11.109375" style="13" bestFit="1" customWidth="1"/>
    <col min="4" max="4" width="11.6640625" style="13" bestFit="1" customWidth="1"/>
    <col min="5" max="10" width="10.6640625" style="13" bestFit="1" customWidth="1"/>
    <col min="11" max="12" width="10.6640625" style="13" customWidth="1"/>
    <col min="13" max="13" width="10.33203125" style="13" customWidth="1"/>
    <col min="14" max="16384" width="8.88671875" style="13"/>
  </cols>
  <sheetData>
    <row r="1" spans="1:26" ht="28.8" x14ac:dyDescent="0.55000000000000004">
      <c r="A1" s="349" t="str">
        <f>(Inputs!E9 &amp;" - Revenue Analysis" )</f>
        <v>Air Canada - Revenue Analysis</v>
      </c>
      <c r="B1" s="349"/>
      <c r="C1" s="349"/>
      <c r="D1" s="349"/>
      <c r="E1" s="349"/>
      <c r="F1" s="349"/>
      <c r="G1" s="349"/>
      <c r="H1" s="349"/>
      <c r="I1" s="349"/>
      <c r="J1" s="349"/>
      <c r="K1" s="349"/>
      <c r="L1" s="349"/>
      <c r="M1" s="349"/>
    </row>
    <row r="2" spans="1:26" x14ac:dyDescent="0.3">
      <c r="A2" s="3"/>
      <c r="B2" s="3" t="s">
        <v>11</v>
      </c>
      <c r="C2" s="3" t="s">
        <v>11</v>
      </c>
      <c r="D2" s="3" t="s">
        <v>11</v>
      </c>
      <c r="E2" s="3" t="s">
        <v>11</v>
      </c>
      <c r="F2" s="3" t="s">
        <v>11</v>
      </c>
      <c r="G2" s="3" t="s">
        <v>11</v>
      </c>
      <c r="H2" s="3" t="s">
        <v>11</v>
      </c>
      <c r="I2" s="3" t="s">
        <v>11</v>
      </c>
      <c r="J2" s="3" t="s">
        <v>11</v>
      </c>
      <c r="K2" s="3" t="s">
        <v>11</v>
      </c>
      <c r="L2" s="3" t="s">
        <v>11</v>
      </c>
      <c r="M2" s="3" t="s">
        <v>268</v>
      </c>
      <c r="N2" s="16"/>
      <c r="O2" s="16"/>
      <c r="P2" s="16"/>
      <c r="Q2" s="16"/>
      <c r="R2" s="16"/>
      <c r="S2" s="16"/>
      <c r="T2" s="16"/>
      <c r="U2" s="16"/>
      <c r="V2" s="16"/>
      <c r="W2" s="16"/>
      <c r="X2" s="16"/>
      <c r="Y2" s="16"/>
      <c r="Z2" s="16"/>
    </row>
    <row r="3" spans="1:26" x14ac:dyDescent="0.3">
      <c r="A3" s="3"/>
      <c r="B3" s="7">
        <f>'Annual Operational Data'!B3</f>
        <v>40543</v>
      </c>
      <c r="C3" s="7">
        <f>'Annual Operational Data'!C3</f>
        <v>40908</v>
      </c>
      <c r="D3" s="7">
        <f>'Annual Operational Data'!D3</f>
        <v>41274</v>
      </c>
      <c r="E3" s="7">
        <f>'Annual Operational Data'!E3</f>
        <v>41639</v>
      </c>
      <c r="F3" s="7">
        <f>'Annual Operational Data'!F3</f>
        <v>42004</v>
      </c>
      <c r="G3" s="7">
        <f>'Annual Operational Data'!G3</f>
        <v>42369</v>
      </c>
      <c r="H3" s="7">
        <f>'Annual Operational Data'!H3</f>
        <v>42735</v>
      </c>
      <c r="I3" s="7">
        <f>'Annual Operational Data'!I3</f>
        <v>43100</v>
      </c>
      <c r="J3" s="7">
        <f>'Annual Operational Data'!J3</f>
        <v>43465</v>
      </c>
      <c r="K3" s="7">
        <f>'Annual Operational Data'!K3</f>
        <v>43830</v>
      </c>
      <c r="L3" s="7">
        <f>'Annual Operational Data'!L3</f>
        <v>44196</v>
      </c>
      <c r="M3" s="7">
        <f>'Annual Operational Data'!M3</f>
        <v>44469</v>
      </c>
      <c r="N3" s="16"/>
      <c r="O3" s="16"/>
      <c r="P3" s="16"/>
      <c r="Q3" s="16"/>
      <c r="R3" s="16"/>
      <c r="S3" s="16"/>
      <c r="T3" s="16"/>
      <c r="U3" s="16"/>
      <c r="V3" s="16"/>
      <c r="W3" s="16"/>
      <c r="X3" s="16"/>
      <c r="Y3" s="16"/>
      <c r="Z3" s="16"/>
    </row>
    <row r="4" spans="1:26" x14ac:dyDescent="0.3">
      <c r="A4" s="3"/>
      <c r="B4" s="3" t="s">
        <v>1</v>
      </c>
      <c r="C4" s="3" t="s">
        <v>1</v>
      </c>
      <c r="D4" s="3" t="s">
        <v>1</v>
      </c>
      <c r="E4" s="3" t="s">
        <v>1</v>
      </c>
      <c r="F4" s="3" t="s">
        <v>1</v>
      </c>
      <c r="G4" s="3" t="s">
        <v>1</v>
      </c>
      <c r="H4" s="3" t="s">
        <v>1</v>
      </c>
      <c r="I4" s="3" t="s">
        <v>1</v>
      </c>
      <c r="J4" s="3" t="s">
        <v>1</v>
      </c>
      <c r="K4" s="3" t="s">
        <v>1</v>
      </c>
      <c r="L4" s="3" t="s">
        <v>1</v>
      </c>
      <c r="M4" s="3" t="s">
        <v>1</v>
      </c>
      <c r="N4" s="16"/>
      <c r="O4" s="16"/>
      <c r="P4" s="16"/>
      <c r="Q4" s="16"/>
      <c r="R4" s="16"/>
      <c r="S4" s="16"/>
      <c r="T4" s="16"/>
      <c r="U4" s="16"/>
      <c r="V4" s="16"/>
      <c r="W4" s="16"/>
      <c r="X4" s="16"/>
      <c r="Y4" s="16"/>
      <c r="Z4" s="16"/>
    </row>
    <row r="5" spans="1:26" x14ac:dyDescent="0.3">
      <c r="A5" s="3"/>
      <c r="B5" s="3" t="str">
        <f>Inputs!$E$18</f>
        <v>CAD</v>
      </c>
      <c r="C5" s="3" t="str">
        <f>Inputs!$E$18</f>
        <v>CAD</v>
      </c>
      <c r="D5" s="3" t="str">
        <f>Inputs!$E$18</f>
        <v>CAD</v>
      </c>
      <c r="E5" s="3" t="str">
        <f>Inputs!$E$18</f>
        <v>CAD</v>
      </c>
      <c r="F5" s="3" t="str">
        <f>Inputs!$E$18</f>
        <v>CAD</v>
      </c>
      <c r="G5" s="3" t="str">
        <f>Inputs!$E$18</f>
        <v>CAD</v>
      </c>
      <c r="H5" s="3" t="str">
        <f>Inputs!$E$18</f>
        <v>CAD</v>
      </c>
      <c r="I5" s="3" t="str">
        <f>Inputs!$E$18</f>
        <v>CAD</v>
      </c>
      <c r="J5" s="3" t="str">
        <f>Inputs!$E$18</f>
        <v>CAD</v>
      </c>
      <c r="K5" s="3" t="str">
        <f>Inputs!$E$18</f>
        <v>CAD</v>
      </c>
      <c r="L5" s="3" t="str">
        <f>Inputs!$E$18</f>
        <v>CAD</v>
      </c>
      <c r="M5" s="3" t="str">
        <f>Inputs!$E$18</f>
        <v>CAD</v>
      </c>
      <c r="N5" s="16"/>
      <c r="O5" s="16"/>
      <c r="P5" s="16"/>
      <c r="Q5" s="16"/>
      <c r="R5" s="16"/>
      <c r="S5" s="16"/>
      <c r="T5" s="16"/>
      <c r="U5" s="16"/>
      <c r="V5" s="16"/>
      <c r="W5" s="16"/>
      <c r="X5" s="16"/>
      <c r="Y5" s="16"/>
      <c r="Z5" s="16"/>
    </row>
    <row r="6" spans="1:26" x14ac:dyDescent="0.3">
      <c r="A6" s="3"/>
      <c r="B6" s="3"/>
      <c r="C6" s="3"/>
      <c r="D6" s="3"/>
      <c r="E6" s="3"/>
      <c r="F6" s="3"/>
      <c r="G6" s="3"/>
      <c r="H6" s="3"/>
      <c r="I6" s="3"/>
      <c r="J6" s="3"/>
      <c r="K6" s="3"/>
      <c r="L6" s="3"/>
      <c r="M6" s="3"/>
      <c r="N6" s="16"/>
      <c r="O6" s="16"/>
      <c r="P6" s="16"/>
      <c r="Q6" s="16"/>
      <c r="R6" s="16"/>
      <c r="S6" s="16"/>
      <c r="T6" s="16"/>
      <c r="U6" s="16"/>
      <c r="V6" s="16"/>
      <c r="W6" s="16"/>
      <c r="X6" s="16"/>
      <c r="Y6" s="16"/>
      <c r="Z6" s="16"/>
    </row>
    <row r="7" spans="1:26" x14ac:dyDescent="0.3">
      <c r="A7" s="3"/>
      <c r="B7" s="15"/>
      <c r="C7" s="15"/>
      <c r="D7" s="15"/>
      <c r="E7" s="15"/>
      <c r="F7" s="15"/>
      <c r="G7" s="15"/>
      <c r="H7" s="15"/>
      <c r="I7" s="15"/>
      <c r="J7" s="15"/>
      <c r="K7" s="15"/>
      <c r="L7" s="15"/>
      <c r="M7" s="15"/>
      <c r="N7" s="16"/>
      <c r="O7" s="16"/>
      <c r="P7" s="16"/>
      <c r="Q7" s="16"/>
      <c r="R7" s="16"/>
      <c r="S7" s="16"/>
      <c r="T7" s="16"/>
      <c r="U7" s="16"/>
      <c r="V7" s="16"/>
      <c r="W7" s="16"/>
      <c r="X7" s="16"/>
      <c r="Y7" s="16"/>
      <c r="Z7" s="16"/>
    </row>
    <row r="8" spans="1:26" x14ac:dyDescent="0.3">
      <c r="A8" s="8" t="s">
        <v>267</v>
      </c>
      <c r="B8" s="10"/>
      <c r="C8" s="10"/>
      <c r="D8" s="10"/>
      <c r="E8" s="10"/>
      <c r="F8" s="10"/>
      <c r="G8" s="10"/>
      <c r="H8" s="10"/>
      <c r="I8" s="10"/>
      <c r="J8" s="10"/>
      <c r="K8" s="10"/>
      <c r="L8" s="10"/>
      <c r="M8" s="10"/>
    </row>
    <row r="9" spans="1:26" x14ac:dyDescent="0.3">
      <c r="A9" s="85" t="s">
        <v>615</v>
      </c>
      <c r="B9" s="21">
        <f>'Annual Inc Statement Reported'!B8</f>
        <v>9427</v>
      </c>
      <c r="C9" s="21">
        <f>'Annual Inc Statement Reported'!C8</f>
        <v>10208</v>
      </c>
      <c r="D9" s="21">
        <f>'Annual Inc Statement Reported'!D8</f>
        <v>10737</v>
      </c>
      <c r="E9" s="21">
        <f>'Annual Inc Statement Reported'!E8</f>
        <v>11021</v>
      </c>
      <c r="F9" s="21">
        <f>'Annual Inc Statement Reported'!F8</f>
        <v>11804</v>
      </c>
      <c r="G9" s="21">
        <f>'Annual Inc Statement Reported'!G8</f>
        <v>12420</v>
      </c>
      <c r="H9" s="21">
        <f>'Annual Inc Statement Reported'!H8</f>
        <v>13148</v>
      </c>
      <c r="I9" s="21">
        <f>'Annual Inc Statement Reported'!I8</f>
        <v>14471</v>
      </c>
      <c r="J9" s="21">
        <f>'Annual Inc Statement Reported'!J8</f>
        <v>16161</v>
      </c>
      <c r="K9" s="21">
        <f>'Annual Inc Statement Reported'!K8</f>
        <v>17232</v>
      </c>
      <c r="L9" s="21">
        <f>'Annual Inc Statement Reported'!L8</f>
        <v>4382</v>
      </c>
      <c r="M9" s="21">
        <f>'Annual Inc Statement Reported'!M8</f>
        <v>2932</v>
      </c>
      <c r="O9" s="85" t="s">
        <v>615</v>
      </c>
    </row>
    <row r="10" spans="1:26" x14ac:dyDescent="0.3">
      <c r="A10" s="57" t="s">
        <v>0</v>
      </c>
      <c r="B10" s="61">
        <f t="shared" ref="B10" si="0">IFERROR((B9/A9)-1,0)</f>
        <v>0</v>
      </c>
      <c r="C10" s="61">
        <f t="shared" ref="C10" si="1">IFERROR((C9/B9)-1,0)</f>
        <v>8.2847141190198315E-2</v>
      </c>
      <c r="D10" s="61">
        <f t="shared" ref="D10" si="2">IFERROR((D9/C9)-1,0)</f>
        <v>5.1822100313479558E-2</v>
      </c>
      <c r="E10" s="61">
        <f t="shared" ref="E10" si="3">IFERROR((E9/D9)-1,0)</f>
        <v>2.6450591412871427E-2</v>
      </c>
      <c r="F10" s="61">
        <f t="shared" ref="F10" si="4">IFERROR((F9/E9)-1,0)</f>
        <v>7.1046184556755376E-2</v>
      </c>
      <c r="G10" s="61">
        <f t="shared" ref="G10" si="5">IFERROR((G9/F9)-1,0)</f>
        <v>5.2185699762792304E-2</v>
      </c>
      <c r="H10" s="61">
        <f t="shared" ref="H10" si="6">IFERROR((H9/G9)-1,0)</f>
        <v>5.8615136876006391E-2</v>
      </c>
      <c r="I10" s="61">
        <f t="shared" ref="I10" si="7">IFERROR((I9/H9)-1,0)</f>
        <v>0.10062366899908737</v>
      </c>
      <c r="J10" s="61">
        <f t="shared" ref="J10" si="8">IFERROR((J9/I9)-1,0)</f>
        <v>0.11678529472738575</v>
      </c>
      <c r="K10" s="61">
        <f t="shared" ref="K10" si="9">IFERROR((K9/J9)-1,0)</f>
        <v>6.6270651568591132E-2</v>
      </c>
      <c r="L10" s="61">
        <f t="shared" ref="L10" si="10">IFERROR((L9/K9)-1,0)</f>
        <v>-0.74570566388115134</v>
      </c>
      <c r="M10" s="61">
        <f t="shared" ref="M10" si="11">IFERROR((M9/L9)-1,0)</f>
        <v>-0.33089913281606576</v>
      </c>
      <c r="O10" s="85" t="s">
        <v>614</v>
      </c>
    </row>
    <row r="11" spans="1:26" x14ac:dyDescent="0.3">
      <c r="A11" s="85" t="s">
        <v>614</v>
      </c>
      <c r="B11" s="21">
        <f>'Annual Inc Statement Reported'!B9</f>
        <v>0</v>
      </c>
      <c r="C11" s="21">
        <f>'Annual Inc Statement Reported'!C9</f>
        <v>0</v>
      </c>
      <c r="D11" s="21">
        <f>'Annual Inc Statement Reported'!D9</f>
        <v>0</v>
      </c>
      <c r="E11" s="21">
        <f>'Annual Inc Statement Reported'!E9</f>
        <v>0</v>
      </c>
      <c r="F11" s="21">
        <f>'Annual Inc Statement Reported'!F9</f>
        <v>0</v>
      </c>
      <c r="G11" s="21">
        <f>'Annual Inc Statement Reported'!G9</f>
        <v>0</v>
      </c>
      <c r="H11" s="21">
        <f>'Annual Inc Statement Reported'!H9</f>
        <v>0</v>
      </c>
      <c r="I11" s="21">
        <f>'Annual Inc Statement Reported'!I9</f>
        <v>0</v>
      </c>
      <c r="J11" s="21">
        <f>'Annual Inc Statement Reported'!J9</f>
        <v>0</v>
      </c>
      <c r="K11" s="21">
        <f>'Annual Inc Statement Reported'!K9</f>
        <v>0</v>
      </c>
      <c r="L11" s="21">
        <f>'Annual Inc Statement Reported'!L9</f>
        <v>0</v>
      </c>
      <c r="M11" s="21">
        <f>'Annual Inc Statement Reported'!M9</f>
        <v>0</v>
      </c>
    </row>
    <row r="12" spans="1:26" x14ac:dyDescent="0.3">
      <c r="A12" s="85" t="s">
        <v>0</v>
      </c>
      <c r="B12" s="61">
        <f t="shared" ref="B12" si="12">IFERROR((B11/A11)-1,0)</f>
        <v>0</v>
      </c>
      <c r="C12" s="61">
        <f t="shared" ref="C12" si="13">IFERROR((C11/B11)-1,0)</f>
        <v>0</v>
      </c>
      <c r="D12" s="61">
        <f t="shared" ref="D12" si="14">IFERROR((D11/C11)-1,0)</f>
        <v>0</v>
      </c>
      <c r="E12" s="61">
        <f t="shared" ref="E12" si="15">IFERROR((E11/D11)-1,0)</f>
        <v>0</v>
      </c>
      <c r="F12" s="61">
        <f t="shared" ref="F12" si="16">IFERROR((F11/E11)-1,0)</f>
        <v>0</v>
      </c>
      <c r="G12" s="61">
        <f t="shared" ref="G12" si="17">IFERROR((G11/F11)-1,0)</f>
        <v>0</v>
      </c>
      <c r="H12" s="61">
        <f t="shared" ref="H12" si="18">IFERROR((H11/G11)-1,0)</f>
        <v>0</v>
      </c>
      <c r="I12" s="61">
        <f t="shared" ref="I12" si="19">IFERROR((I11/H11)-1,0)</f>
        <v>0</v>
      </c>
      <c r="J12" s="61">
        <f t="shared" ref="J12" si="20">IFERROR((J11/I11)-1,0)</f>
        <v>0</v>
      </c>
      <c r="K12" s="61">
        <f t="shared" ref="K12" si="21">IFERROR((K11/J11)-1,0)</f>
        <v>0</v>
      </c>
      <c r="L12" s="61">
        <f t="shared" ref="L12" si="22">IFERROR((L11/K11)-1,0)</f>
        <v>0</v>
      </c>
      <c r="M12" s="61">
        <f t="shared" ref="M12" si="23">IFERROR((M11/L11)-1,0)</f>
        <v>0</v>
      </c>
    </row>
    <row r="13" spans="1:26" x14ac:dyDescent="0.3">
      <c r="A13" s="57" t="s">
        <v>12</v>
      </c>
      <c r="B13" s="21">
        <f>'Annual Inc Statement Reported'!B10</f>
        <v>466</v>
      </c>
      <c r="C13" s="21">
        <f>'Annual Inc Statement Reported'!C10</f>
        <v>481</v>
      </c>
      <c r="D13" s="21">
        <f>'Annual Inc Statement Reported'!D10</f>
        <v>488</v>
      </c>
      <c r="E13" s="21">
        <f>'Annual Inc Statement Reported'!E10</f>
        <v>474</v>
      </c>
      <c r="F13" s="21">
        <f>'Annual Inc Statement Reported'!F10</f>
        <v>502</v>
      </c>
      <c r="G13" s="21">
        <f>'Annual Inc Statement Reported'!G10</f>
        <v>506</v>
      </c>
      <c r="H13" s="21">
        <f>'Annual Inc Statement Reported'!H10</f>
        <v>512</v>
      </c>
      <c r="I13" s="21">
        <f>'Annual Inc Statement Reported'!I10</f>
        <v>650</v>
      </c>
      <c r="J13" s="21">
        <f>'Annual Inc Statement Reported'!J10</f>
        <v>803</v>
      </c>
      <c r="K13" s="21">
        <f>'Annual Inc Statement Reported'!K10</f>
        <v>717</v>
      </c>
      <c r="L13" s="21">
        <f>'Annual Inc Statement Reported'!L10</f>
        <v>920</v>
      </c>
      <c r="M13" s="21">
        <f>'Annual Inc Statement Reported'!M10</f>
        <v>1291</v>
      </c>
    </row>
    <row r="14" spans="1:26" x14ac:dyDescent="0.3">
      <c r="A14" s="57" t="s">
        <v>0</v>
      </c>
      <c r="B14" s="61">
        <f t="shared" ref="B14" si="24">IFERROR((B13/A13)-1,0)</f>
        <v>0</v>
      </c>
      <c r="C14" s="61">
        <f t="shared" ref="C14" si="25">IFERROR((C13/B13)-1,0)</f>
        <v>3.2188841201716833E-2</v>
      </c>
      <c r="D14" s="61">
        <f t="shared" ref="D14" si="26">IFERROR((D13/C13)-1,0)</f>
        <v>1.4553014553014609E-2</v>
      </c>
      <c r="E14" s="61">
        <f t="shared" ref="E14" si="27">IFERROR((E13/D13)-1,0)</f>
        <v>-2.8688524590163911E-2</v>
      </c>
      <c r="F14" s="61">
        <f t="shared" ref="F14" si="28">IFERROR((F13/E13)-1,0)</f>
        <v>5.9071729957805852E-2</v>
      </c>
      <c r="G14" s="61">
        <f t="shared" ref="G14" si="29">IFERROR((G13/F13)-1,0)</f>
        <v>7.9681274900398336E-3</v>
      </c>
      <c r="H14" s="61">
        <f t="shared" ref="H14" si="30">IFERROR((H13/G13)-1,0)</f>
        <v>1.1857707509881354E-2</v>
      </c>
      <c r="I14" s="61">
        <f t="shared" ref="I14" si="31">IFERROR((I13/H13)-1,0)</f>
        <v>0.26953125</v>
      </c>
      <c r="J14" s="61">
        <f t="shared" ref="J14" si="32">IFERROR((J13/I13)-1,0)</f>
        <v>0.2353846153846153</v>
      </c>
      <c r="K14" s="61">
        <f t="shared" ref="K14" si="33">IFERROR((K13/J13)-1,0)</f>
        <v>-0.10709838107098379</v>
      </c>
      <c r="L14" s="61">
        <f t="shared" ref="L14" si="34">IFERROR((L13/K13)-1,0)</f>
        <v>0.28312412831241285</v>
      </c>
      <c r="M14" s="61">
        <f t="shared" ref="M14" si="35">IFERROR((M13/L13)-1,0)</f>
        <v>0.40326086956521734</v>
      </c>
    </row>
    <row r="15" spans="1:26" x14ac:dyDescent="0.3">
      <c r="A15" s="57" t="s">
        <v>13</v>
      </c>
      <c r="B15" s="21">
        <f>'Annual Inc Statement Reported'!B11</f>
        <v>893</v>
      </c>
      <c r="C15" s="21">
        <f>'Annual Inc Statement Reported'!C11</f>
        <v>923</v>
      </c>
      <c r="D15" s="21">
        <f>'Annual Inc Statement Reported'!D11</f>
        <v>895</v>
      </c>
      <c r="E15" s="21">
        <f>'Annual Inc Statement Reported'!E11</f>
        <v>887</v>
      </c>
      <c r="F15" s="21">
        <f>'Annual Inc Statement Reported'!F11</f>
        <v>966</v>
      </c>
      <c r="G15" s="21">
        <f>'Annual Inc Statement Reported'!G11</f>
        <v>942</v>
      </c>
      <c r="H15" s="21">
        <f>'Annual Inc Statement Reported'!H11</f>
        <v>1017</v>
      </c>
      <c r="I15" s="21">
        <f>'Annual Inc Statement Reported'!I11</f>
        <v>1131</v>
      </c>
      <c r="J15" s="21">
        <f>'Annual Inc Statement Reported'!J11</f>
        <v>1039</v>
      </c>
      <c r="K15" s="21">
        <f>'Annual Inc Statement Reported'!K11</f>
        <v>1182</v>
      </c>
      <c r="L15" s="21">
        <f>'Annual Inc Statement Reported'!L11</f>
        <v>531</v>
      </c>
      <c r="M15" s="21">
        <f>'Annual Inc Statement Reported'!M11</f>
        <v>273</v>
      </c>
    </row>
    <row r="16" spans="1:26" x14ac:dyDescent="0.3">
      <c r="A16" s="57" t="s">
        <v>0</v>
      </c>
      <c r="B16" s="61">
        <f t="shared" ref="B16" si="36">IFERROR((B15/A15)-1,0)</f>
        <v>0</v>
      </c>
      <c r="C16" s="61">
        <f t="shared" ref="C16" si="37">IFERROR((C15/B15)-1,0)</f>
        <v>3.3594624860022293E-2</v>
      </c>
      <c r="D16" s="61">
        <f t="shared" ref="D16" si="38">IFERROR((D15/C15)-1,0)</f>
        <v>-3.0335861321776791E-2</v>
      </c>
      <c r="E16" s="61">
        <f t="shared" ref="E16" si="39">IFERROR((E15/D15)-1,0)</f>
        <v>-8.9385474860335101E-3</v>
      </c>
      <c r="F16" s="61">
        <f t="shared" ref="F16" si="40">IFERROR((F15/E15)-1,0)</f>
        <v>8.9064261555806157E-2</v>
      </c>
      <c r="G16" s="61">
        <f t="shared" ref="G16" si="41">IFERROR((G15/F15)-1,0)</f>
        <v>-2.4844720496894457E-2</v>
      </c>
      <c r="H16" s="61">
        <f t="shared" ref="H16" si="42">IFERROR((H15/G15)-1,0)</f>
        <v>7.9617834394904552E-2</v>
      </c>
      <c r="I16" s="61">
        <f t="shared" ref="I16" si="43">IFERROR((I15/H15)-1,0)</f>
        <v>0.11209439528023601</v>
      </c>
      <c r="J16" s="61">
        <f t="shared" ref="J16" si="44">IFERROR((J15/I15)-1,0)</f>
        <v>-8.1343943412908959E-2</v>
      </c>
      <c r="K16" s="61">
        <f t="shared" ref="K16" si="45">IFERROR((K15/J15)-1,0)</f>
        <v>0.13763233878729553</v>
      </c>
      <c r="L16" s="61">
        <f t="shared" ref="L16" si="46">IFERROR((L15/K15)-1,0)</f>
        <v>-0.55076142131979688</v>
      </c>
      <c r="M16" s="61">
        <f t="shared" ref="M16" si="47">IFERROR((M15/L15)-1,0)</f>
        <v>-0.48587570621468923</v>
      </c>
    </row>
    <row r="17" spans="1:13" x14ac:dyDescent="0.3">
      <c r="A17" s="57" t="s">
        <v>5</v>
      </c>
      <c r="B17" s="21">
        <f>'Annual Inc Statement Reported'!B12</f>
        <v>1359</v>
      </c>
      <c r="C17" s="21">
        <f>'Annual Inc Statement Reported'!C12</f>
        <v>1404</v>
      </c>
      <c r="D17" s="21">
        <f>'Annual Inc Statement Reported'!D12</f>
        <v>1383</v>
      </c>
      <c r="E17" s="21">
        <f>'Annual Inc Statement Reported'!E12</f>
        <v>1361</v>
      </c>
      <c r="F17" s="21">
        <f>'Annual Inc Statement Reported'!F12</f>
        <v>1468</v>
      </c>
      <c r="G17" s="21">
        <f>'Annual Inc Statement Reported'!G12</f>
        <v>1448</v>
      </c>
      <c r="H17" s="21">
        <f>'Annual Inc Statement Reported'!H12</f>
        <v>1529</v>
      </c>
      <c r="I17" s="21">
        <f>'Annual Inc Statement Reported'!I12</f>
        <v>1781</v>
      </c>
      <c r="J17" s="21">
        <f>'Annual Inc Statement Reported'!J12</f>
        <v>1842</v>
      </c>
      <c r="K17" s="21">
        <f>'Annual Inc Statement Reported'!K12</f>
        <v>1899</v>
      </c>
      <c r="L17" s="21">
        <f>'Annual Inc Statement Reported'!L12</f>
        <v>1451</v>
      </c>
      <c r="M17" s="21">
        <f>'Annual Inc Statement Reported'!M12</f>
        <v>1564</v>
      </c>
    </row>
    <row r="18" spans="1:13" x14ac:dyDescent="0.3">
      <c r="A18" s="57" t="s">
        <v>0</v>
      </c>
      <c r="B18" s="61">
        <f t="shared" ref="B18" si="48">IFERROR((B17/A17)-1,0)</f>
        <v>0</v>
      </c>
      <c r="C18" s="61">
        <f t="shared" ref="C18" si="49">IFERROR((C17/B17)-1,0)</f>
        <v>3.3112582781456901E-2</v>
      </c>
      <c r="D18" s="61">
        <f t="shared" ref="D18" si="50">IFERROR((D17/C17)-1,0)</f>
        <v>-1.4957264957264904E-2</v>
      </c>
      <c r="E18" s="61">
        <f t="shared" ref="E18" si="51">IFERROR((E17/D17)-1,0)</f>
        <v>-1.590744757772955E-2</v>
      </c>
      <c r="F18" s="61">
        <f t="shared" ref="F18" si="52">IFERROR((F17/E17)-1,0)</f>
        <v>7.8618662747979462E-2</v>
      </c>
      <c r="G18" s="61">
        <f t="shared" ref="G18" si="53">IFERROR((G17/F17)-1,0)</f>
        <v>-1.3623978201634857E-2</v>
      </c>
      <c r="H18" s="61">
        <f t="shared" ref="H18" si="54">IFERROR((H17/G17)-1,0)</f>
        <v>5.5939226519337026E-2</v>
      </c>
      <c r="I18" s="61">
        <f t="shared" ref="I18" si="55">IFERROR((I17/H17)-1,0)</f>
        <v>0.16481360366252451</v>
      </c>
      <c r="J18" s="61">
        <f t="shared" ref="J18" si="56">IFERROR((J17/I17)-1,0)</f>
        <v>3.425042111173493E-2</v>
      </c>
      <c r="K18" s="61">
        <f t="shared" ref="K18" si="57">IFERROR((K17/J17)-1,0)</f>
        <v>3.0944625407166138E-2</v>
      </c>
      <c r="L18" s="61">
        <f t="shared" ref="L18" si="58">IFERROR((L17/K17)-1,0)</f>
        <v>-0.2359136387572407</v>
      </c>
      <c r="M18" s="61">
        <f t="shared" ref="M18" si="59">IFERROR((M17/L17)-1,0)</f>
        <v>7.7877325982081302E-2</v>
      </c>
    </row>
    <row r="19" spans="1:13" x14ac:dyDescent="0.3">
      <c r="A19" s="14" t="s">
        <v>14</v>
      </c>
      <c r="B19" s="6">
        <f>'Annual Inc Statement Reported'!B13</f>
        <v>10786</v>
      </c>
      <c r="C19" s="6">
        <f>'Annual Inc Statement Reported'!C13</f>
        <v>11612</v>
      </c>
      <c r="D19" s="6">
        <f>'Annual Inc Statement Reported'!D13</f>
        <v>12120</v>
      </c>
      <c r="E19" s="6">
        <f>'Annual Inc Statement Reported'!E13</f>
        <v>12382</v>
      </c>
      <c r="F19" s="6">
        <f>'Annual Inc Statement Reported'!F13</f>
        <v>13272</v>
      </c>
      <c r="G19" s="6">
        <f>'Annual Inc Statement Reported'!G13</f>
        <v>13868</v>
      </c>
      <c r="H19" s="6">
        <f>'Annual Inc Statement Reported'!H13</f>
        <v>14677</v>
      </c>
      <c r="I19" s="6">
        <f>'Annual Inc Statement Reported'!I13</f>
        <v>16252</v>
      </c>
      <c r="J19" s="6">
        <f>'Annual Inc Statement Reported'!J13</f>
        <v>18003</v>
      </c>
      <c r="K19" s="6">
        <f>'Annual Inc Statement Reported'!K13</f>
        <v>19131</v>
      </c>
      <c r="L19" s="6">
        <f>'Annual Inc Statement Reported'!L13</f>
        <v>5833</v>
      </c>
      <c r="M19" s="6">
        <f>'Annual Inc Statement Reported'!M13</f>
        <v>4496</v>
      </c>
    </row>
    <row r="20" spans="1:13" x14ac:dyDescent="0.3">
      <c r="A20" s="57" t="s">
        <v>0</v>
      </c>
      <c r="B20" s="61">
        <f t="shared" ref="B20" si="60">IFERROR((B19/A19)-1,0)</f>
        <v>0</v>
      </c>
      <c r="C20" s="61">
        <f t="shared" ref="C20" si="61">IFERROR((C19/B19)-1,0)</f>
        <v>7.6580752827739573E-2</v>
      </c>
      <c r="D20" s="61">
        <f t="shared" ref="D20" si="62">IFERROR((D19/C19)-1,0)</f>
        <v>4.3747847054770972E-2</v>
      </c>
      <c r="E20" s="61">
        <f t="shared" ref="E20" si="63">IFERROR((E19/D19)-1,0)</f>
        <v>2.1617161716171562E-2</v>
      </c>
      <c r="F20" s="61">
        <f t="shared" ref="F20" si="64">IFERROR((F19/E19)-1,0)</f>
        <v>7.1878533354869933E-2</v>
      </c>
      <c r="G20" s="61">
        <f t="shared" ref="G20" si="65">IFERROR((G19/F19)-1,0)</f>
        <v>4.4906570223026021E-2</v>
      </c>
      <c r="H20" s="61">
        <f t="shared" ref="H20" si="66">IFERROR((H19/G19)-1,0)</f>
        <v>5.8335736948370354E-2</v>
      </c>
      <c r="I20" s="61">
        <f t="shared" ref="I20" si="67">IFERROR((I19/H19)-1,0)</f>
        <v>0.10731075832935888</v>
      </c>
      <c r="J20" s="61">
        <f t="shared" ref="J20" si="68">IFERROR((J19/I19)-1,0)</f>
        <v>0.10774058577405854</v>
      </c>
      <c r="K20" s="61">
        <f t="shared" ref="K20" si="69">IFERROR((K19/J19)-1,0)</f>
        <v>6.2656223962672897E-2</v>
      </c>
      <c r="L20" s="61">
        <f t="shared" ref="L20" si="70">IFERROR((L19/K19)-1,0)</f>
        <v>-0.69510219016256336</v>
      </c>
      <c r="M20" s="61">
        <f t="shared" ref="M20" si="71">IFERROR((M19/L19)-1,0)</f>
        <v>-0.22921309789130806</v>
      </c>
    </row>
    <row r="21" spans="1:13" x14ac:dyDescent="0.3">
      <c r="A21" s="8" t="s">
        <v>259</v>
      </c>
      <c r="B21" s="10"/>
      <c r="C21" s="10"/>
      <c r="D21" s="10"/>
      <c r="E21" s="10"/>
      <c r="F21" s="10"/>
      <c r="G21" s="10"/>
      <c r="H21" s="10"/>
      <c r="I21" s="10"/>
      <c r="J21" s="10"/>
      <c r="K21" s="10"/>
      <c r="L21" s="10"/>
      <c r="M21" s="10"/>
    </row>
    <row r="22" spans="1:13" x14ac:dyDescent="0.3">
      <c r="A22" s="85" t="s">
        <v>615</v>
      </c>
      <c r="B22" s="2">
        <f t="shared" ref="B22:G22" si="72">IFERROR(B9/B$19, "N/A")</f>
        <v>0.87400333765992955</v>
      </c>
      <c r="C22" s="2">
        <f t="shared" si="72"/>
        <v>0.87909059593523942</v>
      </c>
      <c r="D22" s="2">
        <f t="shared" si="72"/>
        <v>0.8858910891089109</v>
      </c>
      <c r="E22" s="2">
        <f t="shared" si="72"/>
        <v>0.89008237764496845</v>
      </c>
      <c r="F22" s="2">
        <f t="shared" si="72"/>
        <v>0.88939119951778178</v>
      </c>
      <c r="G22" s="2">
        <f t="shared" si="72"/>
        <v>0.8955869627920392</v>
      </c>
      <c r="H22" s="2">
        <f t="shared" ref="H22" si="73">IFERROR(H9/H$19, "N/A")</f>
        <v>0.89582339715200654</v>
      </c>
      <c r="I22" s="2">
        <f t="shared" ref="I22:M22" si="74">IFERROR(I9/I$19, "N/A")</f>
        <v>0.89041348757076055</v>
      </c>
      <c r="J22" s="2">
        <f t="shared" si="74"/>
        <v>0.89768371938010327</v>
      </c>
      <c r="K22" s="2">
        <f t="shared" si="74"/>
        <v>0.90073702367884589</v>
      </c>
      <c r="L22" s="2">
        <f t="shared" si="74"/>
        <v>0.75124292816732385</v>
      </c>
      <c r="M22" s="2">
        <f t="shared" si="74"/>
        <v>0.65213523131672602</v>
      </c>
    </row>
    <row r="23" spans="1:13" x14ac:dyDescent="0.3">
      <c r="A23" s="85" t="s">
        <v>614</v>
      </c>
      <c r="B23" s="2">
        <f>IFERROR(B11/B$19, "N/A")</f>
        <v>0</v>
      </c>
      <c r="C23" s="2">
        <f t="shared" ref="C23:G23" si="75">IFERROR(C11/C$19, "N/A")</f>
        <v>0</v>
      </c>
      <c r="D23" s="2">
        <f t="shared" si="75"/>
        <v>0</v>
      </c>
      <c r="E23" s="2">
        <f t="shared" si="75"/>
        <v>0</v>
      </c>
      <c r="F23" s="2">
        <f t="shared" si="75"/>
        <v>0</v>
      </c>
      <c r="G23" s="2">
        <f t="shared" si="75"/>
        <v>0</v>
      </c>
      <c r="H23" s="2">
        <f t="shared" ref="H23" si="76">IFERROR(H11/H$19, "N/A")</f>
        <v>0</v>
      </c>
      <c r="I23" s="2">
        <f t="shared" ref="I23:M23" si="77">IFERROR(I11/I$19, "N/A")</f>
        <v>0</v>
      </c>
      <c r="J23" s="2">
        <f t="shared" si="77"/>
        <v>0</v>
      </c>
      <c r="K23" s="2">
        <f t="shared" si="77"/>
        <v>0</v>
      </c>
      <c r="L23" s="2">
        <f t="shared" si="77"/>
        <v>0</v>
      </c>
      <c r="M23" s="2">
        <f t="shared" si="77"/>
        <v>0</v>
      </c>
    </row>
    <row r="24" spans="1:13" x14ac:dyDescent="0.3">
      <c r="A24" s="57" t="s">
        <v>265</v>
      </c>
      <c r="B24" s="2">
        <f>IFERROR(B13/B$19, "N/A")</f>
        <v>4.3204153532356758E-2</v>
      </c>
      <c r="C24" s="2">
        <f t="shared" ref="C24:G24" si="78">IFERROR(C13/C$19, "N/A")</f>
        <v>4.1422666207371686E-2</v>
      </c>
      <c r="D24" s="2">
        <f t="shared" si="78"/>
        <v>4.0264026402640263E-2</v>
      </c>
      <c r="E24" s="2">
        <f t="shared" si="78"/>
        <v>3.8281376191245359E-2</v>
      </c>
      <c r="F24" s="2">
        <f t="shared" si="78"/>
        <v>3.7823990355635925E-2</v>
      </c>
      <c r="G24" s="2">
        <f t="shared" si="78"/>
        <v>3.6486876261897894E-2</v>
      </c>
      <c r="H24" s="2">
        <f t="shared" ref="H24" si="79">IFERROR(H13/H$19, "N/A")</f>
        <v>3.4884513183893164E-2</v>
      </c>
      <c r="I24" s="2">
        <f t="shared" ref="I24:M24" si="80">IFERROR(I13/I$19, "N/A")</f>
        <v>3.9995077528919516E-2</v>
      </c>
      <c r="J24" s="2">
        <f t="shared" si="80"/>
        <v>4.4603677164916956E-2</v>
      </c>
      <c r="K24" s="2">
        <f t="shared" si="80"/>
        <v>3.7478438137055044E-2</v>
      </c>
      <c r="L24" s="2">
        <f t="shared" si="80"/>
        <v>0.15772329847419853</v>
      </c>
      <c r="M24" s="2">
        <f t="shared" si="80"/>
        <v>0.28714412811387902</v>
      </c>
    </row>
    <row r="25" spans="1:13" x14ac:dyDescent="0.3">
      <c r="A25" s="57" t="s">
        <v>264</v>
      </c>
      <c r="B25" s="2">
        <f>IFERROR(B15/B$19, "N/A")</f>
        <v>8.2792508807713702E-2</v>
      </c>
      <c r="C25" s="2">
        <f t="shared" ref="C25:G25" si="81">IFERROR(C15/C$19, "N/A")</f>
        <v>7.9486737857388912E-2</v>
      </c>
      <c r="D25" s="2">
        <f t="shared" si="81"/>
        <v>7.384488448844885E-2</v>
      </c>
      <c r="E25" s="2">
        <f t="shared" si="81"/>
        <v>7.1636246163786138E-2</v>
      </c>
      <c r="F25" s="2">
        <f t="shared" si="81"/>
        <v>7.2784810126582278E-2</v>
      </c>
      <c r="G25" s="2">
        <f t="shared" si="81"/>
        <v>6.792616094606288E-2</v>
      </c>
      <c r="H25" s="2">
        <f t="shared" ref="H25" si="82">IFERROR(H15/H$19, "N/A")</f>
        <v>6.929208966410029E-2</v>
      </c>
      <c r="I25" s="2">
        <f t="shared" ref="I25:M25" si="83">IFERROR(I15/I$19, "N/A")</f>
        <v>6.9591434900319965E-2</v>
      </c>
      <c r="J25" s="2">
        <f t="shared" si="83"/>
        <v>5.7712603454979729E-2</v>
      </c>
      <c r="K25" s="2">
        <f t="shared" si="83"/>
        <v>6.1784538184099104E-2</v>
      </c>
      <c r="L25" s="2">
        <f t="shared" si="83"/>
        <v>9.1033773358477621E-2</v>
      </c>
      <c r="M25" s="2">
        <f t="shared" si="83"/>
        <v>6.0720640569395017E-2</v>
      </c>
    </row>
    <row r="26" spans="1:13" x14ac:dyDescent="0.3">
      <c r="A26" s="57" t="s">
        <v>263</v>
      </c>
      <c r="B26" s="2">
        <f>IFERROR(B17/B$19, "N/A")</f>
        <v>0.12599666234007045</v>
      </c>
      <c r="C26" s="2">
        <f t="shared" ref="C26:G26" si="84">IFERROR(C17/C$19, "N/A")</f>
        <v>0.1209094040647606</v>
      </c>
      <c r="D26" s="2">
        <f t="shared" si="84"/>
        <v>0.11410891089108911</v>
      </c>
      <c r="E26" s="2">
        <f t="shared" si="84"/>
        <v>0.1099176223550315</v>
      </c>
      <c r="F26" s="2">
        <f t="shared" si="84"/>
        <v>0.1106088004822182</v>
      </c>
      <c r="G26" s="2">
        <f t="shared" si="84"/>
        <v>0.10441303720796077</v>
      </c>
      <c r="H26" s="2">
        <f t="shared" ref="H26" si="85">IFERROR(H17/H$19, "N/A")</f>
        <v>0.10417660284799346</v>
      </c>
      <c r="I26" s="2">
        <f t="shared" ref="I26:M26" si="86">IFERROR(I17/I$19, "N/A")</f>
        <v>0.10958651242923947</v>
      </c>
      <c r="J26" s="2">
        <f t="shared" si="86"/>
        <v>0.10231628061989669</v>
      </c>
      <c r="K26" s="2">
        <f t="shared" si="86"/>
        <v>9.9262976321154148E-2</v>
      </c>
      <c r="L26" s="2">
        <f t="shared" si="86"/>
        <v>0.24875707183267615</v>
      </c>
      <c r="M26" s="2">
        <f t="shared" si="86"/>
        <v>0.34786476868327404</v>
      </c>
    </row>
    <row r="27" spans="1:13" x14ac:dyDescent="0.3">
      <c r="A27" s="14" t="s">
        <v>262</v>
      </c>
      <c r="B27" s="238">
        <f>SUM(B22:B25)</f>
        <v>1</v>
      </c>
      <c r="C27" s="238">
        <f t="shared" ref="C27:G27" si="87">SUM(C22:C25)</f>
        <v>1</v>
      </c>
      <c r="D27" s="238">
        <f t="shared" si="87"/>
        <v>1</v>
      </c>
      <c r="E27" s="238">
        <f t="shared" si="87"/>
        <v>1</v>
      </c>
      <c r="F27" s="238">
        <f t="shared" si="87"/>
        <v>1</v>
      </c>
      <c r="G27" s="238">
        <f t="shared" si="87"/>
        <v>1</v>
      </c>
      <c r="H27" s="238">
        <f t="shared" ref="H27" si="88">SUM(H22:H25)</f>
        <v>1</v>
      </c>
      <c r="I27" s="238">
        <f t="shared" ref="I27:M27" si="89">SUM(I22:I25)</f>
        <v>1</v>
      </c>
      <c r="J27" s="238">
        <f t="shared" si="89"/>
        <v>1</v>
      </c>
      <c r="K27" s="238">
        <f t="shared" si="89"/>
        <v>1</v>
      </c>
      <c r="L27" s="238">
        <f t="shared" si="89"/>
        <v>1</v>
      </c>
      <c r="M27" s="238">
        <f t="shared" si="89"/>
        <v>1</v>
      </c>
    </row>
    <row r="28" spans="1:13" x14ac:dyDescent="0.3">
      <c r="A28" s="8" t="str">
        <f>IF(Inputs!$E$10 = "miles", "Per RPM:", "Per RPK:")</f>
        <v>Per RPM:</v>
      </c>
      <c r="B28" s="10"/>
      <c r="C28" s="10"/>
      <c r="D28" s="10"/>
      <c r="E28" s="10"/>
      <c r="F28" s="10"/>
      <c r="G28" s="10"/>
      <c r="H28" s="10"/>
      <c r="I28" s="10"/>
      <c r="J28" s="10"/>
      <c r="K28" s="10"/>
      <c r="L28" s="10"/>
      <c r="M28" s="10"/>
    </row>
    <row r="29" spans="1:13" x14ac:dyDescent="0.3">
      <c r="A29" s="57" t="str">
        <f>("Passenger Revenue -: [cents/" &amp;'Annual Operational Data'!$A$31 &amp; "]")</f>
        <v>Passenger Revenue -: [cents/RPMs]</v>
      </c>
      <c r="B29" s="5">
        <f>IFERROR(B$9*100/'Annual Operational Data'!B$31, "N/A")</f>
        <v>18.172530120481927</v>
      </c>
      <c r="C29" s="5">
        <f>IFERROR(C$9*100/'Annual Operational Data'!C$31, "N/A")</f>
        <v>18.825959463696218</v>
      </c>
      <c r="D29" s="5">
        <f>IFERROR(D$9*100/'Annual Operational Data'!D$31, "N/A")</f>
        <v>19.295187434856054</v>
      </c>
      <c r="E29" s="5">
        <f>IFERROR(E$9*100/'Annual Operational Data'!E$31, "N/A")</f>
        <v>19.406243947104294</v>
      </c>
      <c r="F29" s="5">
        <f>IFERROR(F$9*100/'Annual Operational Data'!F$31, "N/A")</f>
        <v>19.157361724227474</v>
      </c>
      <c r="G29" s="5">
        <f>IFERROR(G$9*100/'Annual Operational Data'!G$31, "N/A")</f>
        <v>18.387741505662891</v>
      </c>
      <c r="H29" s="5">
        <f>IFERROR(H$9*100/'Annual Operational Data'!H$31, "N/A")</f>
        <v>17.191197813836116</v>
      </c>
      <c r="I29" s="5">
        <f>IFERROR(I$9*100/'Annual Operational Data'!I$31, "N/A")</f>
        <v>16.997310217649201</v>
      </c>
      <c r="J29" s="5">
        <f>IFERROR(J$9*100/'Annual Operational Data'!J$31, "N/A")</f>
        <v>17.497834560415765</v>
      </c>
      <c r="K29" s="5">
        <f>IFERROR(K$9*100/'Annual Operational Data'!K$31, "N/A")</f>
        <v>18.309904051512543</v>
      </c>
      <c r="L29" s="5">
        <f>IFERROR(L$9*100/'Annual Operational Data'!L$31, "N/A")</f>
        <v>18.85623305649985</v>
      </c>
      <c r="M29" s="5">
        <f>IFERROR(M$9*100/'Annual Operational Data'!M$31, "N/A")</f>
        <v>21.14677244861161</v>
      </c>
    </row>
    <row r="30" spans="1:13" x14ac:dyDescent="0.3">
      <c r="A30" s="57" t="s">
        <v>0</v>
      </c>
      <c r="B30" s="61">
        <f t="shared" ref="B30" si="90">IFERROR((B29/A29)-1,0)</f>
        <v>0</v>
      </c>
      <c r="C30" s="61">
        <f t="shared" ref="C30" si="91">IFERROR((C29/B29)-1,0)</f>
        <v>3.5956982262906001E-2</v>
      </c>
      <c r="D30" s="61">
        <f t="shared" ref="D30" si="92">IFERROR((D29/C29)-1,0)</f>
        <v>2.4924518299568765E-2</v>
      </c>
      <c r="E30" s="61">
        <f t="shared" ref="E30" si="93">IFERROR((E29/D29)-1,0)</f>
        <v>5.7556586388800568E-3</v>
      </c>
      <c r="F30" s="61">
        <f t="shared" ref="F30" si="94">IFERROR((F29/E29)-1,0)</f>
        <v>-1.2824852844022683E-2</v>
      </c>
      <c r="G30" s="61">
        <f t="shared" ref="G30" si="95">IFERROR((G29/F29)-1,0)</f>
        <v>-4.0173601649504675E-2</v>
      </c>
      <c r="H30" s="61">
        <f t="shared" ref="H30" si="96">IFERROR((H29/G29)-1,0)</f>
        <v>-6.5072901501159075E-2</v>
      </c>
      <c r="I30" s="61">
        <f t="shared" ref="I30" si="97">IFERROR((I29/H29)-1,0)</f>
        <v>-1.1278306391824922E-2</v>
      </c>
      <c r="J30" s="61">
        <f t="shared" ref="J30" si="98">IFERROR((J29/I29)-1,0)</f>
        <v>2.9447267618075479E-2</v>
      </c>
      <c r="K30" s="61">
        <f t="shared" ref="K30" si="99">IFERROR((K29/J29)-1,0)</f>
        <v>4.6409713630158E-2</v>
      </c>
      <c r="L30" s="61">
        <f t="shared" ref="L30" si="100">IFERROR((L29/K29)-1,0)</f>
        <v>2.9837895570084871E-2</v>
      </c>
      <c r="M30" s="61">
        <f t="shared" ref="M30" si="101">IFERROR((M29/L29)-1,0)</f>
        <v>0.12147385881626027</v>
      </c>
    </row>
    <row r="31" spans="1:13" x14ac:dyDescent="0.3">
      <c r="A31" s="85" t="str">
        <f>("Ancillary Revenue -: [cents/" &amp;'Annual Operational Data'!$A$31 &amp; "]")</f>
        <v>Ancillary Revenue -: [cents/RPMs]</v>
      </c>
      <c r="B31" s="5">
        <f>IFERROR(B$11*100/'Annual Operational Data'!B$31, "N/A")</f>
        <v>0</v>
      </c>
      <c r="C31" s="5">
        <f>IFERROR(C$11*100/'Annual Operational Data'!C$31, "N/A")</f>
        <v>0</v>
      </c>
      <c r="D31" s="5">
        <f>IFERROR(D$11*100/'Annual Operational Data'!D$31, "N/A")</f>
        <v>0</v>
      </c>
      <c r="E31" s="5">
        <f>IFERROR(E$11*100/'Annual Operational Data'!E$31, "N/A")</f>
        <v>0</v>
      </c>
      <c r="F31" s="5">
        <f>IFERROR(F$11*100/'Annual Operational Data'!F$31, "N/A")</f>
        <v>0</v>
      </c>
      <c r="G31" s="5">
        <f>IFERROR(G$11*100/'Annual Operational Data'!G$31, "N/A")</f>
        <v>0</v>
      </c>
      <c r="H31" s="5">
        <f>IFERROR(H$11*100/'Annual Operational Data'!H$31, "N/A")</f>
        <v>0</v>
      </c>
      <c r="I31" s="5">
        <f>IFERROR(I$11*100/'Annual Operational Data'!I$31, "N/A")</f>
        <v>0</v>
      </c>
      <c r="J31" s="5">
        <f>IFERROR(J$11*100/'Annual Operational Data'!J$31, "N/A")</f>
        <v>0</v>
      </c>
      <c r="K31" s="5">
        <f>IFERROR(K$11*100/'Annual Operational Data'!K$31, "N/A")</f>
        <v>0</v>
      </c>
      <c r="L31" s="5">
        <f>IFERROR(L$11*100/'Annual Operational Data'!L$31, "N/A")</f>
        <v>0</v>
      </c>
      <c r="M31" s="5">
        <f>IFERROR(M$11*100/'Annual Operational Data'!M$31, "N/A")</f>
        <v>0</v>
      </c>
    </row>
    <row r="32" spans="1:13" x14ac:dyDescent="0.3">
      <c r="A32" s="85" t="s">
        <v>0</v>
      </c>
      <c r="B32" s="61">
        <f t="shared" ref="B32" si="102">IFERROR((B31/A31)-1,0)</f>
        <v>0</v>
      </c>
      <c r="C32" s="61">
        <f t="shared" ref="C32" si="103">IFERROR((C31/B31)-1,0)</f>
        <v>0</v>
      </c>
      <c r="D32" s="61">
        <f t="shared" ref="D32" si="104">IFERROR((D31/C31)-1,0)</f>
        <v>0</v>
      </c>
      <c r="E32" s="61">
        <f t="shared" ref="E32" si="105">IFERROR((E31/D31)-1,0)</f>
        <v>0</v>
      </c>
      <c r="F32" s="61">
        <f t="shared" ref="F32" si="106">IFERROR((F31/E31)-1,0)</f>
        <v>0</v>
      </c>
      <c r="G32" s="61">
        <f t="shared" ref="G32" si="107">IFERROR((G31/F31)-1,0)</f>
        <v>0</v>
      </c>
      <c r="H32" s="61">
        <f t="shared" ref="H32" si="108">IFERROR((H31/G31)-1,0)</f>
        <v>0</v>
      </c>
      <c r="I32" s="61">
        <f t="shared" ref="I32" si="109">IFERROR((I31/H31)-1,0)</f>
        <v>0</v>
      </c>
      <c r="J32" s="61">
        <f t="shared" ref="J32" si="110">IFERROR((J31/I31)-1,0)</f>
        <v>0</v>
      </c>
      <c r="K32" s="61">
        <f t="shared" ref="K32" si="111">IFERROR((K31/J31)-1,0)</f>
        <v>0</v>
      </c>
      <c r="L32" s="61">
        <f t="shared" ref="L32" si="112">IFERROR((L31/K31)-1,0)</f>
        <v>0</v>
      </c>
      <c r="M32" s="61">
        <f t="shared" ref="M32" si="113">IFERROR((M31/L31)-1,0)</f>
        <v>0</v>
      </c>
    </row>
    <row r="33" spans="1:13" x14ac:dyDescent="0.3">
      <c r="A33" s="57" t="str">
        <f>("Cargo Revenue -: [cents/"&amp;'Annual Operational Data'!$A$31 &amp; "]")</f>
        <v>Cargo Revenue -: [cents/RPMs]</v>
      </c>
      <c r="B33" s="5">
        <f>IFERROR(B13*100/'Annual Operational Data'!B31,"")</f>
        <v>0.89831325301204823</v>
      </c>
      <c r="C33" s="5">
        <f>IFERROR(C13*100/'Annual Operational Data'!C31,"")</f>
        <v>0.88707743946295847</v>
      </c>
      <c r="D33" s="5">
        <f>IFERROR(D13*100/'Annual Operational Data'!D31,"")</f>
        <v>0.87697228911332348</v>
      </c>
      <c r="E33" s="5">
        <f>IFERROR(E13*100/'Annual Operational Data'!E31,"")</f>
        <v>0.83463929143702342</v>
      </c>
      <c r="F33" s="5">
        <f>IFERROR(F13*100/'Annual Operational Data'!F31,"")</f>
        <v>0.81472344845494682</v>
      </c>
      <c r="G33" s="5">
        <f>IFERROR(G13*100/'Annual Operational Data'!G31,"")</f>
        <v>0.74913020948996967</v>
      </c>
      <c r="H33" s="5">
        <f>IFERROR(H13*100/'Annual Operational Data'!H31,"")</f>
        <v>0.66944731371190225</v>
      </c>
      <c r="I33" s="5">
        <f>IFERROR(I13*100/'Annual Operational Data'!I31,"")</f>
        <v>0.76347533974652615</v>
      </c>
      <c r="J33" s="5">
        <f>IFERROR(J13*100/'Annual Operational Data'!J31,"")</f>
        <v>0.86942399307059337</v>
      </c>
      <c r="K33" s="5">
        <f>IFERROR(K13*100/'Annual Operational Data'!K31,"")</f>
        <v>0.76185011634949473</v>
      </c>
      <c r="L33" s="5">
        <f>IFERROR(L13*100/'Annual Operational Data'!L31,"")</f>
        <v>3.9588622574121088</v>
      </c>
      <c r="M33" s="5">
        <f>IFERROR(M13*100/'Annual Operational Data'!M31,"")</f>
        <v>9.3112152902993142</v>
      </c>
    </row>
    <row r="34" spans="1:13" x14ac:dyDescent="0.3">
      <c r="A34" s="57" t="s">
        <v>0</v>
      </c>
      <c r="B34" s="61">
        <f t="shared" ref="B34" si="114">IFERROR((B33/A33)-1,0)</f>
        <v>0</v>
      </c>
      <c r="C34" s="61">
        <f t="shared" ref="C34" si="115">IFERROR((C33/B33)-1,0)</f>
        <v>-1.2507678709421266E-2</v>
      </c>
      <c r="D34" s="61">
        <f t="shared" ref="D34" si="116">IFERROR((D33/C33)-1,0)</f>
        <v>-1.1391508677926376E-2</v>
      </c>
      <c r="E34" s="61">
        <f t="shared" ref="E34" si="117">IFERROR((E33/D33)-1,0)</f>
        <v>-4.8271762063430201E-2</v>
      </c>
      <c r="F34" s="61">
        <f t="shared" ref="F34" si="118">IFERROR((F33/E33)-1,0)</f>
        <v>-2.3861616852217549E-2</v>
      </c>
      <c r="G34" s="61">
        <f t="shared" ref="G34" si="119">IFERROR((G33/F33)-1,0)</f>
        <v>-8.0509820957490708E-2</v>
      </c>
      <c r="H34" s="61">
        <f t="shared" ref="H34" si="120">IFERROR((H33/G33)-1,0)</f>
        <v>-0.10636721729900322</v>
      </c>
      <c r="I34" s="61">
        <f t="shared" ref="I34" si="121">IFERROR((I33/H33)-1,0)</f>
        <v>0.140456200374103</v>
      </c>
      <c r="J34" s="61">
        <f t="shared" ref="J34" si="122">IFERROR((J33/I33)-1,0)</f>
        <v>0.13877154612386322</v>
      </c>
      <c r="K34" s="61">
        <f t="shared" ref="K34" si="123">IFERROR((K33/J33)-1,0)</f>
        <v>-0.12373005297584894</v>
      </c>
      <c r="L34" s="61">
        <f t="shared" ref="L34" si="124">IFERROR((L33/K33)-1,0)</f>
        <v>4.1963794090910156</v>
      </c>
      <c r="M34" s="61">
        <f t="shared" ref="M34" si="125">IFERROR((M33/L33)-1,0)</f>
        <v>1.3519927405572365</v>
      </c>
    </row>
    <row r="35" spans="1:13" x14ac:dyDescent="0.3">
      <c r="A35" s="57" t="str">
        <f>("Other Revenue  -: [cents/"&amp;'Annual Operational Data'!$A$31&amp;"]")</f>
        <v>Other Revenue  -: [cents/RPMs]</v>
      </c>
      <c r="B35" s="5">
        <f>IFERROR(B15*100/'Annual Operational Data'!B31,"")</f>
        <v>1.72144578313253</v>
      </c>
      <c r="C35" s="5">
        <f>IFERROR(C15*100/'Annual Operational Data'!C31,"")</f>
        <v>1.7022296811316231</v>
      </c>
      <c r="D35" s="5">
        <f>IFERROR(D15*100/'Annual Operational Data'!D31,"")</f>
        <v>1.6083815548287388</v>
      </c>
      <c r="E35" s="5">
        <f>IFERROR(E15*100/'Annual Operational Data'!E31,"")</f>
        <v>1.5618671972671727</v>
      </c>
      <c r="F35" s="5">
        <f>IFERROR(F15*100/'Annual Operational Data'!F31,"")</f>
        <v>1.5677746039989613</v>
      </c>
      <c r="G35" s="5">
        <f>IFERROR(G15*100/'Annual Operational Data'!G31,"")</f>
        <v>1.3946258050188762</v>
      </c>
      <c r="H35" s="5">
        <f>IFERROR(H15*100/'Annual Operational Data'!H31,"")</f>
        <v>1.3297420274316496</v>
      </c>
      <c r="I35" s="5">
        <f>IFERROR(I15*100/'Annual Operational Data'!I31,"")</f>
        <v>1.3284470911589557</v>
      </c>
      <c r="J35" s="5">
        <f>IFERROR(J15*100/'Annual Operational Data'!J31,"")</f>
        <v>1.1249458640103942</v>
      </c>
      <c r="K35" s="5">
        <f>IFERROR(K15*100/'Annual Operational Data'!K31,"")</f>
        <v>1.255937011889962</v>
      </c>
      <c r="L35" s="5">
        <f>IFERROR(L15*100/'Annual Operational Data'!L31,"")</f>
        <v>2.2849520203106848</v>
      </c>
      <c r="M35" s="5">
        <f>IFERROR(M15*100/'Annual Operational Data'!M31,"")</f>
        <v>1.9689866570501262</v>
      </c>
    </row>
    <row r="36" spans="1:13" x14ac:dyDescent="0.3">
      <c r="A36" s="57" t="s">
        <v>0</v>
      </c>
      <c r="B36" s="61">
        <f t="shared" ref="B36" si="126">IFERROR((B35/A35)-1,0)</f>
        <v>0</v>
      </c>
      <c r="C36" s="61">
        <f t="shared" ref="C36" si="127">IFERROR((C35/B35)-1,0)</f>
        <v>-1.1162769219451807E-2</v>
      </c>
      <c r="D36" s="61">
        <f t="shared" ref="D36" si="128">IFERROR((D35/C35)-1,0)</f>
        <v>-5.5132469691455022E-2</v>
      </c>
      <c r="E36" s="61">
        <f t="shared" ref="E36" si="129">IFERROR((E35/D35)-1,0)</f>
        <v>-2.8919976992970997E-2</v>
      </c>
      <c r="F36" s="61">
        <f t="shared" ref="F36" si="130">IFERROR((F35/E35)-1,0)</f>
        <v>3.7822721049043384E-3</v>
      </c>
      <c r="G36" s="61">
        <f t="shared" ref="G36" si="131">IFERROR((G35/F35)-1,0)</f>
        <v>-0.11044240577595155</v>
      </c>
      <c r="H36" s="61">
        <f t="shared" ref="H36" si="132">IFERROR((H35/G35)-1,0)</f>
        <v>-4.6524148164853729E-2</v>
      </c>
      <c r="I36" s="61">
        <f t="shared" ref="I36" si="133">IFERROR((I35/H35)-1,0)</f>
        <v>-9.7382518261457385E-4</v>
      </c>
      <c r="J36" s="61">
        <f t="shared" ref="J36" si="134">IFERROR((J35/I35)-1,0)</f>
        <v>-0.15318730305700334</v>
      </c>
      <c r="K36" s="61">
        <f t="shared" ref="K36" si="135">IFERROR((K35/J35)-1,0)</f>
        <v>0.11644217919304012</v>
      </c>
      <c r="L36" s="61">
        <f t="shared" ref="L36" si="136">IFERROR((L35/K35)-1,0)</f>
        <v>0.81932055403975879</v>
      </c>
      <c r="M36" s="61">
        <f t="shared" ref="M36" si="137">IFERROR((M35/L35)-1,0)</f>
        <v>-0.13828096189853334</v>
      </c>
    </row>
    <row r="37" spans="1:13" x14ac:dyDescent="0.3">
      <c r="A37" s="57" t="str">
        <f>("Total Cargo &amp; Other Revenue -: [cents/" &amp;'Annual Operational Data'!$A$31 &amp; "]")</f>
        <v>Total Cargo &amp; Other Revenue -: [cents/RPMs]</v>
      </c>
      <c r="B37" s="5">
        <f>IFERROR(B17*100/'Annual Operational Data'!B31,"")</f>
        <v>2.6197590361445782</v>
      </c>
      <c r="C37" s="5">
        <f>IFERROR(C17*100/'Annual Operational Data'!C31,"")</f>
        <v>2.5893071205945817</v>
      </c>
      <c r="D37" s="5">
        <f>IFERROR(D17*100/'Annual Operational Data'!D31,"")</f>
        <v>2.4853538439420624</v>
      </c>
      <c r="E37" s="5">
        <f>IFERROR(E17*100/'Annual Operational Data'!E31,"")</f>
        <v>2.3965064887041962</v>
      </c>
      <c r="F37" s="5">
        <f>IFERROR(F17*100/'Annual Operational Data'!F31,"")</f>
        <v>2.3824980524539079</v>
      </c>
      <c r="G37" s="5">
        <f>IFERROR(G17*100/'Annual Operational Data'!G31,"")</f>
        <v>2.1437560145088459</v>
      </c>
      <c r="H37" s="5">
        <f>IFERROR(H17*100/'Annual Operational Data'!H31,"")</f>
        <v>1.999189341143552</v>
      </c>
      <c r="I37" s="5">
        <f>IFERROR(I17*100/'Annual Operational Data'!I31,"")</f>
        <v>2.0919224309054818</v>
      </c>
      <c r="J37" s="5">
        <f>IFERROR(J17*100/'Annual Operational Data'!J31,"")</f>
        <v>1.9943698570809874</v>
      </c>
      <c r="K37" s="5">
        <f>IFERROR(K17*100/'Annual Operational Data'!K31,"")</f>
        <v>2.0177871282394566</v>
      </c>
      <c r="L37" s="5">
        <f>IFERROR(L17*100/'Annual Operational Data'!L31,"")</f>
        <v>6.2438142777227936</v>
      </c>
      <c r="M37" s="5">
        <f>IFERROR(M17*100/'Annual Operational Data'!M31,"")</f>
        <v>11.280201947349441</v>
      </c>
    </row>
    <row r="38" spans="1:13" x14ac:dyDescent="0.3">
      <c r="A38" s="57" t="s">
        <v>0</v>
      </c>
      <c r="B38" s="61">
        <f t="shared" ref="B38" si="138">IFERROR((B37/A37)-1,0)</f>
        <v>0</v>
      </c>
      <c r="C38" s="61">
        <f t="shared" ref="C38" si="139">IFERROR((C37/B37)-1,0)</f>
        <v>-1.1623937594967382E-2</v>
      </c>
      <c r="D38" s="61">
        <f t="shared" ref="D38" si="140">IFERROR((D37/C37)-1,0)</f>
        <v>-4.0147140455338737E-2</v>
      </c>
      <c r="E38" s="61">
        <f t="shared" ref="E38" si="141">IFERROR((E37/D37)-1,0)</f>
        <v>-3.5748372592670274E-2</v>
      </c>
      <c r="F38" s="61">
        <f t="shared" ref="F38" si="142">IFERROR((F37/E37)-1,0)</f>
        <v>-5.8453571130795412E-3</v>
      </c>
      <c r="G38" s="61">
        <f t="shared" ref="G38" si="143">IFERROR((G37/F37)-1,0)</f>
        <v>-0.10020660361051048</v>
      </c>
      <c r="H38" s="61">
        <f t="shared" ref="H38" si="144">IFERROR((H37/G37)-1,0)</f>
        <v>-6.7436159892671155E-2</v>
      </c>
      <c r="I38" s="61">
        <f t="shared" ref="I38" si="145">IFERROR((I37/H37)-1,0)</f>
        <v>4.6385346226829105E-2</v>
      </c>
      <c r="J38" s="61">
        <f t="shared" ref="J38" si="146">IFERROR((J37/I37)-1,0)</f>
        <v>-4.6632978538438952E-2</v>
      </c>
      <c r="K38" s="61">
        <f t="shared" ref="K38" si="147">IFERROR((K37/J37)-1,0)</f>
        <v>1.1741689273595091E-2</v>
      </c>
      <c r="L38" s="61">
        <f t="shared" ref="L38" si="148">IFERROR((L37/K37)-1,0)</f>
        <v>2.0943870095804389</v>
      </c>
      <c r="M38" s="61">
        <f t="shared" ref="M38" si="149">IFERROR((M37/L37)-1,0)</f>
        <v>0.80662035185702052</v>
      </c>
    </row>
    <row r="39" spans="1:13" x14ac:dyDescent="0.3">
      <c r="A39" s="14" t="str">
        <f>("Total Revenue -: [cents/"&amp;'Annual Operational Data'!$A$31 &amp; "]")</f>
        <v>Total Revenue -: [cents/RPMs]</v>
      </c>
      <c r="B39" s="77">
        <f>IFERROR(B19*100/'Annual Operational Data'!B31,"")</f>
        <v>20.792289156626506</v>
      </c>
      <c r="C39" s="77">
        <f>IFERROR(C19*100/'Annual Operational Data'!C31,"")</f>
        <v>21.415266584290798</v>
      </c>
      <c r="D39" s="77">
        <f>IFERROR(D19*100/'Annual Operational Data'!D31,"")</f>
        <v>21.780541278798118</v>
      </c>
      <c r="E39" s="77">
        <f>IFERROR(E19*100/'Annual Operational Data'!E31,"")</f>
        <v>21.802750435808491</v>
      </c>
      <c r="F39" s="77">
        <f>IFERROR(F19*100/'Annual Operational Data'!F31,"")</f>
        <v>21.539859776681382</v>
      </c>
      <c r="G39" s="77">
        <f>IFERROR(G19*100/'Annual Operational Data'!G31,"")</f>
        <v>20.531497520171737</v>
      </c>
      <c r="H39" s="77">
        <f>IFERROR(H19*100/'Annual Operational Data'!H31,"")</f>
        <v>19.190387154979668</v>
      </c>
      <c r="I39" s="77">
        <f>IFERROR(I19*100/'Annual Operational Data'!I31,"")</f>
        <v>19.089232648554681</v>
      </c>
      <c r="J39" s="77">
        <f>IFERROR(J19*100/'Annual Operational Data'!J31,"")</f>
        <v>19.492204417496751</v>
      </c>
      <c r="K39" s="77">
        <f>IFERROR(K19*100/'Annual Operational Data'!K31,"")</f>
        <v>20.327691179752001</v>
      </c>
      <c r="L39" s="77">
        <f>IFERROR(L19*100/'Annual Operational Data'!L31,"")</f>
        <v>25.100047334222644</v>
      </c>
      <c r="M39" s="77">
        <f>IFERROR(M19*100/'Annual Operational Data'!M31,"")</f>
        <v>32.426974395961054</v>
      </c>
    </row>
    <row r="40" spans="1:13" x14ac:dyDescent="0.3">
      <c r="A40" s="57" t="s">
        <v>0</v>
      </c>
      <c r="B40" s="61">
        <f t="shared" ref="B40" si="150">IFERROR((B39/A39)-1,0)</f>
        <v>0</v>
      </c>
      <c r="C40" s="61">
        <f t="shared" ref="C40" si="151">IFERROR((C39/B39)-1,0)</f>
        <v>2.9961945169743265E-2</v>
      </c>
      <c r="D40" s="61">
        <f t="shared" ref="D40" si="152">IFERROR((D39/C39)-1,0)</f>
        <v>1.7056742818007509E-2</v>
      </c>
      <c r="E40" s="61">
        <f t="shared" ref="E40" si="153">IFERROR((E39/D39)-1,0)</f>
        <v>1.0196788374581267E-3</v>
      </c>
      <c r="F40" s="61">
        <f t="shared" ref="F40" si="154">IFERROR((F39/E39)-1,0)</f>
        <v>-1.2057683268040464E-2</v>
      </c>
      <c r="G40" s="61">
        <f t="shared" ref="G40" si="155">IFERROR((G39/F39)-1,0)</f>
        <v>-4.6813779985758197E-2</v>
      </c>
      <c r="H40" s="61">
        <f t="shared" ref="H40" si="156">IFERROR((H39/G39)-1,0)</f>
        <v>-6.5319656487524025E-2</v>
      </c>
      <c r="I40" s="61">
        <f t="shared" ref="I40" si="157">IFERROR((I39/H39)-1,0)</f>
        <v>-5.2711029542068522E-3</v>
      </c>
      <c r="J40" s="61">
        <f t="shared" ref="J40" si="158">IFERROR((J39/I39)-1,0)</f>
        <v>2.1109898777025071E-2</v>
      </c>
      <c r="K40" s="61">
        <f t="shared" ref="K40" si="159">IFERROR((K39/J39)-1,0)</f>
        <v>4.2862610321554806E-2</v>
      </c>
      <c r="L40" s="61">
        <f t="shared" ref="L40" si="160">IFERROR((L39/K39)-1,0)</f>
        <v>0.23477118538795438</v>
      </c>
      <c r="M40" s="61">
        <f t="shared" ref="M40" si="161">IFERROR((M39/L39)-1,0)</f>
        <v>0.29190889420150667</v>
      </c>
    </row>
    <row r="41" spans="1:13" x14ac:dyDescent="0.3">
      <c r="A41" s="8" t="str">
        <f>IF(Inputs!$E$10 = "miles", "Per ASM:", "Per ASK:")</f>
        <v>Per ASM:</v>
      </c>
      <c r="B41" s="10"/>
      <c r="C41" s="10"/>
      <c r="D41" s="10"/>
      <c r="E41" s="10"/>
      <c r="F41" s="10"/>
      <c r="G41" s="10"/>
      <c r="H41" s="10"/>
      <c r="I41" s="10"/>
      <c r="J41" s="10"/>
      <c r="K41" s="10"/>
      <c r="L41" s="10"/>
      <c r="M41" s="10"/>
    </row>
    <row r="42" spans="1:13" x14ac:dyDescent="0.3">
      <c r="A42" s="85" t="str">
        <f>("Passenger Revenue -: [cents/" &amp;'Annual Operational Data'!$A$33 &amp; "]")</f>
        <v>Passenger Revenue -: [cents/ASMs]</v>
      </c>
      <c r="B42" s="5">
        <f>IFERROR(B9*100/'Annual Operational Data'!B$33, "N/A")</f>
        <v>14.846604510520347</v>
      </c>
      <c r="C42" s="5">
        <f>IFERROR(C9*100/'Annual Operational Data'!C$33, "N/A")</f>
        <v>15.359614805898286</v>
      </c>
      <c r="D42" s="5">
        <f>IFERROR(D9*100/'Annual Operational Data'!D$33, "N/A")</f>
        <v>15.961289747134639</v>
      </c>
      <c r="E42" s="5">
        <f>IFERROR(E9*100/'Annual Operational Data'!E$33, "N/A")</f>
        <v>16.071923351756521</v>
      </c>
      <c r="F42" s="5">
        <f>IFERROR(F9*100/'Annual Operational Data'!F$33, "N/A")</f>
        <v>15.975314322835604</v>
      </c>
      <c r="G42" s="5">
        <f>IFERROR(G9*100/'Annual Operational Data'!G$33, "N/A")</f>
        <v>15.357792039173498</v>
      </c>
      <c r="H42" s="5">
        <f>IFERROR(H9*100/'Annual Operational Data'!H$33, "N/A")</f>
        <v>14.179410305631645</v>
      </c>
      <c r="I42" s="5">
        <f>IFERROR(I9*100/'Annual Operational Data'!I$33, "N/A")</f>
        <v>13.982723302284235</v>
      </c>
      <c r="J42" s="5">
        <f>IFERROR(J9*100/'Annual Operational Data'!J$33, "N/A")</f>
        <v>14.577056987714899</v>
      </c>
      <c r="K42" s="5">
        <f>IFERROR(K9*100/'Annual Operational Data'!K$33, "N/A")</f>
        <v>15.274699948587941</v>
      </c>
      <c r="L42" s="5">
        <f>IFERROR(L9*100/'Annual Operational Data'!L$33, "N/A")</f>
        <v>11.622417314272074</v>
      </c>
      <c r="M42" s="5">
        <f>IFERROR(M9*100/'Annual Operational Data'!M$33, "N/A")</f>
        <v>11.576578355115094</v>
      </c>
    </row>
    <row r="43" spans="1:13" x14ac:dyDescent="0.3">
      <c r="A43" s="85" t="s">
        <v>0</v>
      </c>
      <c r="B43" s="61">
        <f t="shared" ref="B43" si="162">IFERROR((B42/A42)-1,0)</f>
        <v>0</v>
      </c>
      <c r="C43" s="61">
        <f t="shared" ref="C43" si="163">IFERROR((C42/B42)-1,0)</f>
        <v>3.4554048706181728E-2</v>
      </c>
      <c r="D43" s="61">
        <f t="shared" ref="D43" si="164">IFERROR((D42/C42)-1,0)</f>
        <v>3.9172528011920171E-2</v>
      </c>
      <c r="E43" s="61">
        <f t="shared" ref="E43" si="165">IFERROR((E42/D42)-1,0)</f>
        <v>6.9313699816608842E-3</v>
      </c>
      <c r="F43" s="61">
        <f t="shared" ref="F43" si="166">IFERROR((F42/E42)-1,0)</f>
        <v>-6.0110434082152331E-3</v>
      </c>
      <c r="G43" s="61">
        <f t="shared" ref="G43" si="167">IFERROR((G42/F42)-1,0)</f>
        <v>-3.8654781444857123E-2</v>
      </c>
      <c r="H43" s="61">
        <f t="shared" ref="H43" si="168">IFERROR((H42/G42)-1,0)</f>
        <v>-7.6728590316637035E-2</v>
      </c>
      <c r="I43" s="61">
        <f t="shared" ref="I43" si="169">IFERROR((I42/H42)-1,0)</f>
        <v>-1.3871310520529367E-2</v>
      </c>
      <c r="J43" s="61">
        <f t="shared" ref="J43" si="170">IFERROR((J42/I42)-1,0)</f>
        <v>4.2504859216771607E-2</v>
      </c>
      <c r="K43" s="61">
        <f t="shared" ref="K43" si="171">IFERROR((K42/J42)-1,0)</f>
        <v>4.7858971907772219E-2</v>
      </c>
      <c r="L43" s="61">
        <f t="shared" ref="L43" si="172">IFERROR((L42/K42)-1,0)</f>
        <v>-0.23910666963075111</v>
      </c>
      <c r="M43" s="61">
        <f t="shared" ref="M43" si="173">IFERROR((M42/L42)-1,0)</f>
        <v>-3.9440124990771652E-3</v>
      </c>
    </row>
    <row r="44" spans="1:13" x14ac:dyDescent="0.3">
      <c r="A44" s="85" t="str">
        <f>("Ancillary Revenue -: [cents/" &amp;'Annual Operational Data'!$A$33 &amp; "]")</f>
        <v>Ancillary Revenue -: [cents/ASMs]</v>
      </c>
      <c r="B44" s="5">
        <f>IFERROR(B$11*100/'Annual Operational Data'!B$33, "N/A")</f>
        <v>0</v>
      </c>
      <c r="C44" s="5">
        <f>IFERROR(C$11*100/'Annual Operational Data'!C$33, "N/A")</f>
        <v>0</v>
      </c>
      <c r="D44" s="5">
        <f>IFERROR(D$11*100/'Annual Operational Data'!D$33, "N/A")</f>
        <v>0</v>
      </c>
      <c r="E44" s="5">
        <f>IFERROR(E$11*100/'Annual Operational Data'!E$33, "N/A")</f>
        <v>0</v>
      </c>
      <c r="F44" s="5">
        <f>IFERROR(F$11*100/'Annual Operational Data'!F$33, "N/A")</f>
        <v>0</v>
      </c>
      <c r="G44" s="5">
        <f>IFERROR(G$11*100/'Annual Operational Data'!G$33, "N/A")</f>
        <v>0</v>
      </c>
      <c r="H44" s="5">
        <f>IFERROR(H$11*100/'Annual Operational Data'!H$33, "N/A")</f>
        <v>0</v>
      </c>
      <c r="I44" s="5">
        <f>IFERROR(I$11*100/'Annual Operational Data'!I$33, "N/A")</f>
        <v>0</v>
      </c>
      <c r="J44" s="5">
        <f>IFERROR(J$11*100/'Annual Operational Data'!J$33, "N/A")</f>
        <v>0</v>
      </c>
      <c r="K44" s="5">
        <f>IFERROR(K$11*100/'Annual Operational Data'!K$33, "N/A")</f>
        <v>0</v>
      </c>
      <c r="L44" s="5">
        <f>IFERROR(L$11*100/'Annual Operational Data'!L$33, "N/A")</f>
        <v>0</v>
      </c>
      <c r="M44" s="5">
        <f>IFERROR(M$11*100/'Annual Operational Data'!M$33, "N/A")</f>
        <v>0</v>
      </c>
    </row>
    <row r="45" spans="1:13" x14ac:dyDescent="0.3">
      <c r="A45" s="85" t="s">
        <v>0</v>
      </c>
      <c r="B45" s="61">
        <f t="shared" ref="B45" si="174">IFERROR((B44/A44)-1,0)</f>
        <v>0</v>
      </c>
      <c r="C45" s="61">
        <f t="shared" ref="C45" si="175">IFERROR((C44/B44)-1,0)</f>
        <v>0</v>
      </c>
      <c r="D45" s="61">
        <f t="shared" ref="D45" si="176">IFERROR((D44/C44)-1,0)</f>
        <v>0</v>
      </c>
      <c r="E45" s="61">
        <f t="shared" ref="E45" si="177">IFERROR((E44/D44)-1,0)</f>
        <v>0</v>
      </c>
      <c r="F45" s="61">
        <f t="shared" ref="F45" si="178">IFERROR((F44/E44)-1,0)</f>
        <v>0</v>
      </c>
      <c r="G45" s="61">
        <f t="shared" ref="G45" si="179">IFERROR((G44/F44)-1,0)</f>
        <v>0</v>
      </c>
      <c r="H45" s="61">
        <f t="shared" ref="H45" si="180">IFERROR((H44/G44)-1,0)</f>
        <v>0</v>
      </c>
      <c r="I45" s="61">
        <f t="shared" ref="I45" si="181">IFERROR((I44/H44)-1,0)</f>
        <v>0</v>
      </c>
      <c r="J45" s="61">
        <f t="shared" ref="J45" si="182">IFERROR((J44/I44)-1,0)</f>
        <v>0</v>
      </c>
      <c r="K45" s="61">
        <f t="shared" ref="K45" si="183">IFERROR((K44/J44)-1,0)</f>
        <v>0</v>
      </c>
      <c r="L45" s="61">
        <f t="shared" ref="L45" si="184">IFERROR((L44/K44)-1,0)</f>
        <v>0</v>
      </c>
      <c r="M45" s="61">
        <f t="shared" ref="M45" si="185">IFERROR((M44/L44)-1,0)</f>
        <v>0</v>
      </c>
    </row>
    <row r="46" spans="1:13" x14ac:dyDescent="0.3">
      <c r="A46" s="85" t="str">
        <f>("Cargo Revenue -: [cents/"&amp;'Annual Operational Data'!$A$33 &amp; "]")</f>
        <v>Cargo Revenue -: [cents/ASMs]</v>
      </c>
      <c r="B46" s="5">
        <f>IFERROR(B13*100/'Annual Operational Data'!B$33, "N/A")</f>
        <v>0.73390449792112888</v>
      </c>
      <c r="C46" s="5">
        <f>IFERROR(C13*100/'Annual Operational Data'!C$33, "N/A")</f>
        <v>0.72374360517604575</v>
      </c>
      <c r="D46" s="5">
        <f>IFERROR(D13*100/'Annual Operational Data'!D$33, "N/A")</f>
        <v>0.72544559901291827</v>
      </c>
      <c r="E46" s="5">
        <f>IFERROR(E13*100/'Annual Operational Data'!E$33, "N/A")</f>
        <v>0.69123415921718456</v>
      </c>
      <c r="F46" s="5">
        <f>IFERROR(F13*100/'Annual Operational Data'!F$33, "N/A")</f>
        <v>0.67939747459026378</v>
      </c>
      <c r="G46" s="5">
        <f>IFERROR(G13*100/'Annual Operational Data'!G$33, "N/A")</f>
        <v>0.62568782381817956</v>
      </c>
      <c r="H46" s="5">
        <f>IFERROR(H13*100/'Annual Operational Data'!H$33, "N/A")</f>
        <v>0.55216444147272614</v>
      </c>
      <c r="I46" s="5">
        <f>IFERROR(I13*100/'Annual Operational Data'!I$33, "N/A")</f>
        <v>0.6280678699802883</v>
      </c>
      <c r="J46" s="5">
        <f>IFERROR(J13*100/'Annual Operational Data'!J$33, "N/A")</f>
        <v>0.72429780094889329</v>
      </c>
      <c r="K46" s="5">
        <f>IFERROR(K13*100/'Annual Operational Data'!K$33, "N/A")</f>
        <v>0.63555941638449132</v>
      </c>
      <c r="L46" s="5">
        <f>IFERROR(L13*100/'Annual Operational Data'!L$33, "N/A")</f>
        <v>2.4401241280534705</v>
      </c>
      <c r="M46" s="5">
        <f>IFERROR(M13*100/'Annual Operational Data'!M$33, "N/A")</f>
        <v>5.0973269633197775</v>
      </c>
    </row>
    <row r="47" spans="1:13" x14ac:dyDescent="0.3">
      <c r="A47" s="85" t="s">
        <v>0</v>
      </c>
      <c r="B47" s="61">
        <f t="shared" ref="B47" si="186">IFERROR((B46/A46)-1,0)</f>
        <v>0</v>
      </c>
      <c r="C47" s="61">
        <f t="shared" ref="C47" si="187">IFERROR((C46/B46)-1,0)</f>
        <v>-1.3844979522356193E-2</v>
      </c>
      <c r="D47" s="61">
        <f t="shared" ref="D47" si="188">IFERROR((D46/C46)-1,0)</f>
        <v>2.3516530228389065E-3</v>
      </c>
      <c r="E47" s="61">
        <f t="shared" ref="E47" si="189">IFERROR((E46/D46)-1,0)</f>
        <v>-4.7159207861049435E-2</v>
      </c>
      <c r="F47" s="61">
        <f t="shared" ref="F47" si="190">IFERROR((F46/E46)-1,0)</f>
        <v>-1.7123986812697001E-2</v>
      </c>
      <c r="G47" s="61">
        <f t="shared" ref="G47" si="191">IFERROR((G46/F46)-1,0)</f>
        <v>-7.9054828404353183E-2</v>
      </c>
      <c r="H47" s="61">
        <f t="shared" ref="H47" si="192">IFERROR((H46/G46)-1,0)</f>
        <v>-0.1175080919695487</v>
      </c>
      <c r="I47" s="61">
        <f t="shared" ref="I47" si="193">IFERROR((I46/H46)-1,0)</f>
        <v>0.13746525999594161</v>
      </c>
      <c r="J47" s="61">
        <f t="shared" ref="J47" si="194">IFERROR((J46/I46)-1,0)</f>
        <v>0.15321581562773634</v>
      </c>
      <c r="K47" s="61">
        <f t="shared" ref="K47" si="195">IFERROR((K46/J46)-1,0)</f>
        <v>-0.12251643515712318</v>
      </c>
      <c r="L47" s="61">
        <f t="shared" ref="L47" si="196">IFERROR((L46/K46)-1,0)</f>
        <v>2.8393328226251633</v>
      </c>
      <c r="M47" s="61">
        <f t="shared" ref="M47" si="197">IFERROR((M46/L46)-1,0)</f>
        <v>1.088962157587452</v>
      </c>
    </row>
    <row r="48" spans="1:13" x14ac:dyDescent="0.3">
      <c r="A48" s="85" t="str">
        <f>("Other Revenue  -: [cents/"&amp;'Annual Operational Data'!$A$33&amp;"]")</f>
        <v>Other Revenue  -: [cents/ASMs]</v>
      </c>
      <c r="B48" s="5">
        <f>IFERROR(B15*100/'Annual Operational Data'!B$33, "N/A")</f>
        <v>1.4063878039561548</v>
      </c>
      <c r="C48" s="5">
        <f>IFERROR(C15*100/'Annual Operational Data'!C$33, "N/A")</f>
        <v>1.3888052964188986</v>
      </c>
      <c r="D48" s="5">
        <f>IFERROR(D15*100/'Annual Operational Data'!D$33, "N/A")</f>
        <v>1.3304791211404956</v>
      </c>
      <c r="E48" s="5">
        <f>IFERROR(E15*100/'Annual Operational Data'!E$33, "N/A")</f>
        <v>1.2935120236827906</v>
      </c>
      <c r="F48" s="5">
        <f>IFERROR(F15*100/'Annual Operational Data'!F$33, "N/A")</f>
        <v>1.3073664550880375</v>
      </c>
      <c r="G48" s="5">
        <f>IFERROR(G15*100/'Annual Operational Data'!G$33, "N/A")</f>
        <v>1.1648180435508402</v>
      </c>
      <c r="H48" s="5">
        <f>IFERROR(H15*100/'Annual Operational Data'!H$33, "N/A")</f>
        <v>1.0967797597221922</v>
      </c>
      <c r="I48" s="5">
        <f>IFERROR(I15*100/'Annual Operational Data'!I$33, "N/A")</f>
        <v>1.0928380937657016</v>
      </c>
      <c r="J48" s="5">
        <f>IFERROR(J15*100/'Annual Operational Data'!J$33, "N/A")</f>
        <v>0.93716739126513093</v>
      </c>
      <c r="K48" s="5">
        <f>IFERROR(K15*100/'Annual Operational Data'!K$33, "N/A")</f>
        <v>1.0477423014874041</v>
      </c>
      <c r="L48" s="5">
        <f>IFERROR(L15*100/'Annual Operational Data'!L$33, "N/A")</f>
        <v>1.408375991300427</v>
      </c>
      <c r="M48" s="5">
        <f>IFERROR(M15*100/'Annual Operational Data'!M$33, "N/A")</f>
        <v>1.0779010542109211</v>
      </c>
    </row>
    <row r="49" spans="1:13" x14ac:dyDescent="0.3">
      <c r="A49" s="85" t="s">
        <v>0</v>
      </c>
      <c r="B49" s="61">
        <f t="shared" ref="B49" si="198">IFERROR((B48/A48)-1,0)</f>
        <v>0</v>
      </c>
      <c r="C49" s="61">
        <f t="shared" ref="C49" si="199">IFERROR((C48/B48)-1,0)</f>
        <v>-1.2501891361541118E-2</v>
      </c>
      <c r="D49" s="61">
        <f t="shared" ref="D49" si="200">IFERROR((D48/C48)-1,0)</f>
        <v>-4.1997373878685407E-2</v>
      </c>
      <c r="E49" s="61">
        <f t="shared" ref="E49" si="201">IFERROR((E48/D48)-1,0)</f>
        <v>-2.7784800881367144E-2</v>
      </c>
      <c r="F49" s="61">
        <f t="shared" ref="F49" si="202">IFERROR((F48/E48)-1,0)</f>
        <v>1.0710709410958197E-2</v>
      </c>
      <c r="G49" s="61">
        <f t="shared" ref="G49" si="203">IFERROR((G48/F48)-1,0)</f>
        <v>-0.10903477826161467</v>
      </c>
      <c r="H49" s="61">
        <f t="shared" ref="H49" si="204">IFERROR((H48/G48)-1,0)</f>
        <v>-5.8411083349326876E-2</v>
      </c>
      <c r="I49" s="61">
        <f t="shared" ref="I49" si="205">IFERROR((I48/H48)-1,0)</f>
        <v>-3.593853662552049E-3</v>
      </c>
      <c r="J49" s="61">
        <f t="shared" ref="J49" si="206">IFERROR((J48/I48)-1,0)</f>
        <v>-0.14244626298133567</v>
      </c>
      <c r="K49" s="61">
        <f t="shared" ref="K49" si="207">IFERROR((K48/J48)-1,0)</f>
        <v>0.11798843115209379</v>
      </c>
      <c r="L49" s="61">
        <f t="shared" ref="L49" si="208">IFERROR((L48/K48)-1,0)</f>
        <v>0.34420075365961389</v>
      </c>
      <c r="M49" s="61">
        <f t="shared" ref="M49" si="209">IFERROR((M48/L48)-1,0)</f>
        <v>-0.23464965260048287</v>
      </c>
    </row>
    <row r="50" spans="1:13" x14ac:dyDescent="0.3">
      <c r="A50" s="85" t="str">
        <f>("Total Cargo &amp; Other Revenue -: [cents/" &amp;'Annual Operational Data'!$A$33 &amp; "]")</f>
        <v>Total Cargo &amp; Other Revenue -: [cents/ASMs]</v>
      </c>
      <c r="B50" s="5">
        <f>IFERROR(B17*100/'Annual Operational Data'!B$33, "N/A")</f>
        <v>2.1402923018772837</v>
      </c>
      <c r="C50" s="5">
        <f>IFERROR(C17*100/'Annual Operational Data'!C$33, "N/A")</f>
        <v>2.1125489015949444</v>
      </c>
      <c r="D50" s="5">
        <f>IFERROR(D17*100/'Annual Operational Data'!D$33, "N/A")</f>
        <v>2.0559247201534139</v>
      </c>
      <c r="E50" s="5">
        <f>IFERROR(E17*100/'Annual Operational Data'!E$33, "N/A")</f>
        <v>1.9847461828999753</v>
      </c>
      <c r="F50" s="5">
        <f>IFERROR(F17*100/'Annual Operational Data'!F$33, "N/A")</f>
        <v>1.9867639296783013</v>
      </c>
      <c r="G50" s="5">
        <f>IFERROR(G17*100/'Annual Operational Data'!G$33, "N/A")</f>
        <v>1.7905058673690197</v>
      </c>
      <c r="H50" s="5">
        <f>IFERROR(H17*100/'Annual Operational Data'!H$33, "N/A")</f>
        <v>1.6489442011949185</v>
      </c>
      <c r="I50" s="5">
        <f>IFERROR(I17*100/'Annual Operational Data'!I$33, "N/A")</f>
        <v>1.72090596374599</v>
      </c>
      <c r="J50" s="5">
        <f>IFERROR(J17*100/'Annual Operational Data'!J$33, "N/A")</f>
        <v>1.6614651922140242</v>
      </c>
      <c r="K50" s="5">
        <f>IFERROR(K17*100/'Annual Operational Data'!K$33, "N/A")</f>
        <v>1.6833017178718954</v>
      </c>
      <c r="L50" s="5">
        <f>IFERROR(L17*100/'Annual Operational Data'!L$33, "N/A")</f>
        <v>3.8485001193538975</v>
      </c>
      <c r="M50" s="5">
        <f>IFERROR(M17*100/'Annual Operational Data'!M$33, "N/A")</f>
        <v>6.1752280175306984</v>
      </c>
    </row>
    <row r="51" spans="1:13" x14ac:dyDescent="0.3">
      <c r="A51" s="85" t="s">
        <v>0</v>
      </c>
      <c r="B51" s="61">
        <f t="shared" ref="B51" si="210">IFERROR((B50/A50)-1,0)</f>
        <v>0</v>
      </c>
      <c r="C51" s="61">
        <f t="shared" ref="C51" si="211">IFERROR((C50/B50)-1,0)</f>
        <v>-1.2962435204763922E-2</v>
      </c>
      <c r="D51" s="61">
        <f t="shared" ref="D51" si="212">IFERROR((D50/C50)-1,0)</f>
        <v>-2.6803725773533627E-2</v>
      </c>
      <c r="E51" s="61">
        <f t="shared" ref="E51" si="213">IFERROR((E50/D50)-1,0)</f>
        <v>-3.4621178759953408E-2</v>
      </c>
      <c r="F51" s="61">
        <f t="shared" ref="F51" si="214">IFERROR((F50/E50)-1,0)</f>
        <v>1.0166271111693437E-3</v>
      </c>
      <c r="G51" s="61">
        <f t="shared" ref="G51" si="215">IFERROR((G50/F50)-1,0)</f>
        <v>-9.878277905974453E-2</v>
      </c>
      <c r="H51" s="61">
        <f t="shared" ref="H51" si="216">IFERROR((H50/G50)-1,0)</f>
        <v>-7.9062386085398728E-2</v>
      </c>
      <c r="I51" s="61">
        <f t="shared" ref="I51" si="217">IFERROR((I50/H50)-1,0)</f>
        <v>4.3641114416681948E-2</v>
      </c>
      <c r="J51" s="61">
        <f t="shared" ref="J51" si="218">IFERROR((J50/I50)-1,0)</f>
        <v>-3.4540394875834934E-2</v>
      </c>
      <c r="K51" s="61">
        <f t="shared" ref="K51" si="219">IFERROR((K50/J50)-1,0)</f>
        <v>1.3142932972777244E-2</v>
      </c>
      <c r="L51" s="61">
        <f t="shared" ref="L51" si="220">IFERROR((L50/K50)-1,0)</f>
        <v>1.2862806343590867</v>
      </c>
      <c r="M51" s="61">
        <f t="shared" ref="M51" si="221">IFERROR((M50/L50)-1,0)</f>
        <v>0.60458044069579553</v>
      </c>
    </row>
    <row r="52" spans="1:13" x14ac:dyDescent="0.3">
      <c r="A52" s="14" t="str">
        <f>("Total Revenue -: [cents/"&amp;'Annual Operational Data'!$A$33 &amp; "]")</f>
        <v>Total Revenue -: [cents/ASMs]</v>
      </c>
      <c r="B52" s="6">
        <f>IFERROR(B19*100/'Annual Operational Data'!B$33, "N/A")</f>
        <v>16.986896812397632</v>
      </c>
      <c r="C52" s="6">
        <f>IFERROR(C19*100/'Annual Operational Data'!C$33, "N/A")</f>
        <v>17.47216370749323</v>
      </c>
      <c r="D52" s="6">
        <f>IFERROR(D19*100/'Annual Operational Data'!D$33, "N/A")</f>
        <v>18.017214467288053</v>
      </c>
      <c r="E52" s="6">
        <f>IFERROR(E19*100/'Annual Operational Data'!E$33, "N/A")</f>
        <v>18.056669534656496</v>
      </c>
      <c r="F52" s="6">
        <f>IFERROR(F19*100/'Annual Operational Data'!F$33, "N/A")</f>
        <v>17.962078252513905</v>
      </c>
      <c r="G52" s="6">
        <f>IFERROR(G19*100/'Annual Operational Data'!G$33, "N/A")</f>
        <v>17.148297906542517</v>
      </c>
      <c r="H52" s="6">
        <f>IFERROR(H19*100/'Annual Operational Data'!H$33, "N/A")</f>
        <v>15.828354506826564</v>
      </c>
      <c r="I52" s="6">
        <f>IFERROR(I19*100/'Annual Operational Data'!I$33, "N/A")</f>
        <v>15.703629266030225</v>
      </c>
      <c r="J52" s="6">
        <f>IFERROR(J19*100/'Annual Operational Data'!J$33, "N/A")</f>
        <v>16.238522179928925</v>
      </c>
      <c r="K52" s="6">
        <f>IFERROR(K19*100/'Annual Operational Data'!K$33, "N/A")</f>
        <v>16.958001666459836</v>
      </c>
      <c r="L52" s="6">
        <f>IFERROR(L19*100/'Annual Operational Data'!L$33, "N/A")</f>
        <v>15.470917433625971</v>
      </c>
      <c r="M52" s="6">
        <f>IFERROR(M19*100/'Annual Operational Data'!M$33, "N/A")</f>
        <v>17.751806372645792</v>
      </c>
    </row>
    <row r="53" spans="1:13" x14ac:dyDescent="0.3">
      <c r="A53" s="85" t="s">
        <v>0</v>
      </c>
      <c r="B53" s="61">
        <f t="shared" ref="B53" si="222">IFERROR((B52/A52)-1,0)</f>
        <v>0</v>
      </c>
      <c r="C53" s="61">
        <f t="shared" ref="C53" si="223">IFERROR((C52/B52)-1,0)</f>
        <v>2.8567130327266987E-2</v>
      </c>
      <c r="D53" s="61">
        <f t="shared" ref="D53" si="224">IFERROR((D52/C52)-1,0)</f>
        <v>3.1195378484295544E-2</v>
      </c>
      <c r="E53" s="61">
        <f t="shared" ref="E53" si="225">IFERROR((E52/D52)-1,0)</f>
        <v>2.1898539000064776E-3</v>
      </c>
      <c r="F53" s="61">
        <f t="shared" ref="F53" si="226">IFERROR((F52/E52)-1,0)</f>
        <v>-5.2385785740299839E-3</v>
      </c>
      <c r="G53" s="61">
        <f t="shared" ref="G53" si="227">IFERROR((G52/F52)-1,0)</f>
        <v>-4.5305467136437572E-2</v>
      </c>
      <c r="H53" s="61">
        <f t="shared" ref="H53" si="228">IFERROR((H52/G52)-1,0)</f>
        <v>-7.6972269021076456E-2</v>
      </c>
      <c r="I53" s="61">
        <f t="shared" ref="I53" si="229">IFERROR((I52/H52)-1,0)</f>
        <v>-7.8798614690204216E-3</v>
      </c>
      <c r="J53" s="61">
        <f t="shared" ref="J53" si="230">IFERROR((J52/I52)-1,0)</f>
        <v>3.4061738521538487E-2</v>
      </c>
      <c r="K53" s="61">
        <f t="shared" ref="K53" si="231">IFERROR((K52/J52)-1,0)</f>
        <v>4.4306955926087799E-2</v>
      </c>
      <c r="L53" s="61">
        <f t="shared" ref="L53" si="232">IFERROR((L52/K52)-1,0)</f>
        <v>-8.7692185794218669E-2</v>
      </c>
      <c r="M53" s="61">
        <f t="shared" ref="M53" si="233">IFERROR((M52/L52)-1,0)</f>
        <v>0.14743074861625982</v>
      </c>
    </row>
    <row r="54" spans="1:13" x14ac:dyDescent="0.3">
      <c r="A54" s="8" t="str">
        <f>IF(Inputs!$E$10 = "miles", "Per RFTM:", "Per RFTK:")</f>
        <v>Per RFTM:</v>
      </c>
      <c r="B54" s="10"/>
      <c r="C54" s="10"/>
      <c r="D54" s="10"/>
      <c r="E54" s="10"/>
      <c r="F54" s="10"/>
      <c r="G54" s="10"/>
      <c r="H54" s="10"/>
      <c r="I54" s="10"/>
      <c r="J54" s="10"/>
      <c r="K54" s="10"/>
      <c r="L54" s="10"/>
      <c r="M54" s="10"/>
    </row>
    <row r="55" spans="1:13" x14ac:dyDescent="0.3">
      <c r="A55" s="85" t="str">
        <f>("Cargo Revenue -: [cents/"&amp;'Annual Operational Data'!$A$37 &amp; "]")</f>
        <v>Cargo Revenue -: [cents/RFTMs]</v>
      </c>
      <c r="B55" s="5" t="str">
        <f>IFERROR(B13*100/'Annual Operational Data'!B37,"N/A")</f>
        <v>N/A</v>
      </c>
      <c r="C55" s="5" t="str">
        <f>IFERROR(C13*100/'Annual Operational Data'!C37,"N/A")</f>
        <v>N/A</v>
      </c>
      <c r="D55" s="5" t="str">
        <f>IFERROR(D13*100/'Annual Operational Data'!D37,"N/A")</f>
        <v>N/A</v>
      </c>
      <c r="E55" s="5" t="str">
        <f>IFERROR(E13*100/'Annual Operational Data'!E37,"N/A")</f>
        <v>N/A</v>
      </c>
      <c r="F55" s="5" t="str">
        <f>IFERROR(F13*100/'Annual Operational Data'!F37,"N/A")</f>
        <v>N/A</v>
      </c>
      <c r="G55" s="5" t="str">
        <f>IFERROR(G13*100/'Annual Operational Data'!G37,"N/A")</f>
        <v>N/A</v>
      </c>
      <c r="H55" s="5" t="str">
        <f>IFERROR(H13*100/'Annual Operational Data'!H37,"N/A")</f>
        <v>N/A</v>
      </c>
      <c r="I55" s="5" t="str">
        <f>IFERROR(I13*100/'Annual Operational Data'!I37,"N/A")</f>
        <v>N/A</v>
      </c>
      <c r="J55" s="5" t="str">
        <f>IFERROR(J13*100/'Annual Operational Data'!J37,"N/A")</f>
        <v>N/A</v>
      </c>
      <c r="K55" s="5" t="str">
        <f>IFERROR(K13*100/'Annual Operational Data'!K37,"N/A")</f>
        <v>N/A</v>
      </c>
      <c r="L55" s="5" t="str">
        <f>IFERROR(L13*100/'Annual Operational Data'!L37,"N/A")</f>
        <v>N/A</v>
      </c>
      <c r="M55" s="5" t="str">
        <f>IFERROR(M13*100/'Annual Operational Data'!M37,"N/A")</f>
        <v>N/A</v>
      </c>
    </row>
    <row r="56" spans="1:13" x14ac:dyDescent="0.3">
      <c r="A56" s="57" t="s">
        <v>0</v>
      </c>
      <c r="B56" s="61">
        <f t="shared" ref="B56" si="234">IFERROR((B55/A55)-1,0)</f>
        <v>0</v>
      </c>
      <c r="C56" s="61">
        <f t="shared" ref="C56" si="235">IFERROR((C55/B55)-1,0)</f>
        <v>0</v>
      </c>
      <c r="D56" s="61">
        <f t="shared" ref="D56" si="236">IFERROR((D55/C55)-1,0)</f>
        <v>0</v>
      </c>
      <c r="E56" s="61">
        <f t="shared" ref="E56" si="237">IFERROR((E55/D55)-1,0)</f>
        <v>0</v>
      </c>
      <c r="F56" s="61">
        <f t="shared" ref="F56" si="238">IFERROR((F55/E55)-1,0)</f>
        <v>0</v>
      </c>
      <c r="G56" s="61">
        <f t="shared" ref="G56" si="239">IFERROR((G55/F55)-1,0)</f>
        <v>0</v>
      </c>
      <c r="H56" s="61">
        <f t="shared" ref="H56" si="240">IFERROR((H55/G55)-1,0)</f>
        <v>0</v>
      </c>
      <c r="I56" s="61">
        <f t="shared" ref="I56" si="241">IFERROR((I55/H55)-1,0)</f>
        <v>0</v>
      </c>
      <c r="J56" s="61">
        <f t="shared" ref="J56" si="242">IFERROR((J55/I55)-1,0)</f>
        <v>0</v>
      </c>
      <c r="K56" s="61">
        <f t="shared" ref="K56" si="243">IFERROR((K55/J55)-1,0)</f>
        <v>0</v>
      </c>
      <c r="L56" s="61">
        <f t="shared" ref="L56" si="244">IFERROR((L55/K55)-1,0)</f>
        <v>0</v>
      </c>
      <c r="M56" s="61">
        <f t="shared" ref="M56" si="245">IFERROR((M55/L55)-1,0)</f>
        <v>0</v>
      </c>
    </row>
    <row r="57" spans="1:13" x14ac:dyDescent="0.3">
      <c r="A57" s="8" t="str">
        <f>IF(Inputs!$E$10 = "miles", "Per RTM:", "Per RTK:")</f>
        <v>Per RTM:</v>
      </c>
      <c r="B57" s="10"/>
      <c r="C57" s="10"/>
      <c r="D57" s="10"/>
      <c r="E57" s="10"/>
      <c r="F57" s="10"/>
      <c r="G57" s="10"/>
      <c r="H57" s="10"/>
      <c r="I57" s="10"/>
      <c r="J57" s="10"/>
      <c r="K57" s="10"/>
      <c r="L57" s="10"/>
      <c r="M57" s="10"/>
    </row>
    <row r="58" spans="1:13" x14ac:dyDescent="0.3">
      <c r="A58" s="85" t="str">
        <f>("Passenger Revenue -: [cents/" &amp;'Annual Operational Data'!$A$43 &amp; "]")</f>
        <v>Passenger Revenue -: [cents/RTMs]</v>
      </c>
      <c r="B58" s="5" t="str">
        <f>IFERROR(B9*100/'Annual Operational Data'!B$43, "N/A")</f>
        <v>N/A</v>
      </c>
      <c r="C58" s="5" t="str">
        <f>IFERROR(C9*100/'Annual Operational Data'!C$43, "N/A")</f>
        <v>N/A</v>
      </c>
      <c r="D58" s="5" t="str">
        <f>IFERROR(D9*100/'Annual Operational Data'!D$43, "N/A")</f>
        <v>N/A</v>
      </c>
      <c r="E58" s="5" t="str">
        <f>IFERROR(E9*100/'Annual Operational Data'!E$43, "N/A")</f>
        <v>N/A</v>
      </c>
      <c r="F58" s="5" t="str">
        <f>IFERROR(F9*100/'Annual Operational Data'!F$43, "N/A")</f>
        <v>N/A</v>
      </c>
      <c r="G58" s="5" t="str">
        <f>IFERROR(G9*100/'Annual Operational Data'!G$43, "N/A")</f>
        <v>N/A</v>
      </c>
      <c r="H58" s="5" t="str">
        <f>IFERROR(H9*100/'Annual Operational Data'!H$43, "N/A")</f>
        <v>N/A</v>
      </c>
      <c r="I58" s="5" t="str">
        <f>IFERROR(I9*100/'Annual Operational Data'!I$43, "N/A")</f>
        <v>N/A</v>
      </c>
      <c r="J58" s="5" t="str">
        <f>IFERROR(J9*100/'Annual Operational Data'!J$43, "N/A")</f>
        <v>N/A</v>
      </c>
      <c r="K58" s="5" t="str">
        <f>IFERROR(K9*100/'Annual Operational Data'!K$43, "N/A")</f>
        <v>N/A</v>
      </c>
      <c r="L58" s="5" t="str">
        <f>IFERROR(L9*100/'Annual Operational Data'!L$43, "N/A")</f>
        <v>N/A</v>
      </c>
      <c r="M58" s="5" t="str">
        <f>IFERROR(M9*100/'Annual Operational Data'!M$43, "N/A")</f>
        <v>N/A</v>
      </c>
    </row>
    <row r="59" spans="1:13" x14ac:dyDescent="0.3">
      <c r="A59" s="85" t="s">
        <v>0</v>
      </c>
      <c r="B59" s="61">
        <f t="shared" ref="B59" si="246">IFERROR((B58/A58)-1,0)</f>
        <v>0</v>
      </c>
      <c r="C59" s="61">
        <f t="shared" ref="C59" si="247">IFERROR((C58/B58)-1,0)</f>
        <v>0</v>
      </c>
      <c r="D59" s="61">
        <f t="shared" ref="D59" si="248">IFERROR((D58/C58)-1,0)</f>
        <v>0</v>
      </c>
      <c r="E59" s="61">
        <f t="shared" ref="E59" si="249">IFERROR((E58/D58)-1,0)</f>
        <v>0</v>
      </c>
      <c r="F59" s="61">
        <f t="shared" ref="F59" si="250">IFERROR((F58/E58)-1,0)</f>
        <v>0</v>
      </c>
      <c r="G59" s="61">
        <f t="shared" ref="G59" si="251">IFERROR((G58/F58)-1,0)</f>
        <v>0</v>
      </c>
      <c r="H59" s="61">
        <f t="shared" ref="H59" si="252">IFERROR((H58/G58)-1,0)</f>
        <v>0</v>
      </c>
      <c r="I59" s="61">
        <f t="shared" ref="I59" si="253">IFERROR((I58/H58)-1,0)</f>
        <v>0</v>
      </c>
      <c r="J59" s="61">
        <f t="shared" ref="J59" si="254">IFERROR((J58/I58)-1,0)</f>
        <v>0</v>
      </c>
      <c r="K59" s="61">
        <f t="shared" ref="K59" si="255">IFERROR((K58/J58)-1,0)</f>
        <v>0</v>
      </c>
      <c r="L59" s="61">
        <f t="shared" ref="L59" si="256">IFERROR((L58/K58)-1,0)</f>
        <v>0</v>
      </c>
      <c r="M59" s="61">
        <f t="shared" ref="M59" si="257">IFERROR((M58/L58)-1,0)</f>
        <v>0</v>
      </c>
    </row>
    <row r="60" spans="1:13" x14ac:dyDescent="0.3">
      <c r="A60" s="85" t="str">
        <f>("Cargo Revenue -: [cents/"&amp;'Annual Operational Data'!$A$43 &amp; "]")</f>
        <v>Cargo Revenue -: [cents/RTMs]</v>
      </c>
      <c r="B60" s="5" t="str">
        <f>IFERROR(B13*100/'Annual Operational Data'!B$43, "N/A")</f>
        <v>N/A</v>
      </c>
      <c r="C60" s="5" t="str">
        <f>IFERROR(C13*100/'Annual Operational Data'!C$43, "N/A")</f>
        <v>N/A</v>
      </c>
      <c r="D60" s="5" t="str">
        <f>IFERROR(D13*100/'Annual Operational Data'!D$43, "N/A")</f>
        <v>N/A</v>
      </c>
      <c r="E60" s="5" t="str">
        <f>IFERROR(E13*100/'Annual Operational Data'!E$43, "N/A")</f>
        <v>N/A</v>
      </c>
      <c r="F60" s="5" t="str">
        <f>IFERROR(F13*100/'Annual Operational Data'!F$43, "N/A")</f>
        <v>N/A</v>
      </c>
      <c r="G60" s="5" t="str">
        <f>IFERROR(G13*100/'Annual Operational Data'!G$43, "N/A")</f>
        <v>N/A</v>
      </c>
      <c r="H60" s="5" t="str">
        <f>IFERROR(H13*100/'Annual Operational Data'!H$43, "N/A")</f>
        <v>N/A</v>
      </c>
      <c r="I60" s="5" t="str">
        <f>IFERROR(I13*100/'Annual Operational Data'!I$43, "N/A")</f>
        <v>N/A</v>
      </c>
      <c r="J60" s="5" t="str">
        <f>IFERROR(J13*100/'Annual Operational Data'!J$43, "N/A")</f>
        <v>N/A</v>
      </c>
      <c r="K60" s="5" t="str">
        <f>IFERROR(K13*100/'Annual Operational Data'!K$43, "N/A")</f>
        <v>N/A</v>
      </c>
      <c r="L60" s="5" t="str">
        <f>IFERROR(L13*100/'Annual Operational Data'!L$43, "N/A")</f>
        <v>N/A</v>
      </c>
      <c r="M60" s="5" t="str">
        <f>IFERROR(M13*100/'Annual Operational Data'!M$43, "N/A")</f>
        <v>N/A</v>
      </c>
    </row>
    <row r="61" spans="1:13" x14ac:dyDescent="0.3">
      <c r="A61" s="85" t="s">
        <v>0</v>
      </c>
      <c r="B61" s="61">
        <f t="shared" ref="B61" si="258">IFERROR((B60/A60)-1,0)</f>
        <v>0</v>
      </c>
      <c r="C61" s="61">
        <f t="shared" ref="C61" si="259">IFERROR((C60/B60)-1,0)</f>
        <v>0</v>
      </c>
      <c r="D61" s="61">
        <f t="shared" ref="D61" si="260">IFERROR((D60/C60)-1,0)</f>
        <v>0</v>
      </c>
      <c r="E61" s="61">
        <f t="shared" ref="E61" si="261">IFERROR((E60/D60)-1,0)</f>
        <v>0</v>
      </c>
      <c r="F61" s="61">
        <f t="shared" ref="F61" si="262">IFERROR((F60/E60)-1,0)</f>
        <v>0</v>
      </c>
      <c r="G61" s="61">
        <f t="shared" ref="G61" si="263">IFERROR((G60/F60)-1,0)</f>
        <v>0</v>
      </c>
      <c r="H61" s="61">
        <f t="shared" ref="H61" si="264">IFERROR((H60/G60)-1,0)</f>
        <v>0</v>
      </c>
      <c r="I61" s="61">
        <f t="shared" ref="I61" si="265">IFERROR((I60/H60)-1,0)</f>
        <v>0</v>
      </c>
      <c r="J61" s="61">
        <f t="shared" ref="J61" si="266">IFERROR((J60/I60)-1,0)</f>
        <v>0</v>
      </c>
      <c r="K61" s="61">
        <f t="shared" ref="K61" si="267">IFERROR((K60/J60)-1,0)</f>
        <v>0</v>
      </c>
      <c r="L61" s="61">
        <f t="shared" ref="L61" si="268">IFERROR((L60/K60)-1,0)</f>
        <v>0</v>
      </c>
      <c r="M61" s="61">
        <f t="shared" ref="M61" si="269">IFERROR((M60/L60)-1,0)</f>
        <v>0</v>
      </c>
    </row>
    <row r="62" spans="1:13" x14ac:dyDescent="0.3">
      <c r="A62" s="85" t="str">
        <f>("Other Revenue  -: [cents/"&amp;'Annual Operational Data'!$A$43&amp;"]")</f>
        <v>Other Revenue  -: [cents/RTMs]</v>
      </c>
      <c r="B62" s="5" t="str">
        <f>IFERROR(B15*100/'Annual Operational Data'!B$43, "N/A")</f>
        <v>N/A</v>
      </c>
      <c r="C62" s="5" t="str">
        <f>IFERROR(C15*100/'Annual Operational Data'!C$43, "N/A")</f>
        <v>N/A</v>
      </c>
      <c r="D62" s="5" t="str">
        <f>IFERROR(D15*100/'Annual Operational Data'!D$43, "N/A")</f>
        <v>N/A</v>
      </c>
      <c r="E62" s="5" t="str">
        <f>IFERROR(E15*100/'Annual Operational Data'!E$43, "N/A")</f>
        <v>N/A</v>
      </c>
      <c r="F62" s="5" t="str">
        <f>IFERROR(F15*100/'Annual Operational Data'!F$43, "N/A")</f>
        <v>N/A</v>
      </c>
      <c r="G62" s="5" t="str">
        <f>IFERROR(G15*100/'Annual Operational Data'!G$43, "N/A")</f>
        <v>N/A</v>
      </c>
      <c r="H62" s="5" t="str">
        <f>IFERROR(H15*100/'Annual Operational Data'!H$43, "N/A")</f>
        <v>N/A</v>
      </c>
      <c r="I62" s="5" t="str">
        <f>IFERROR(I15*100/'Annual Operational Data'!I$43, "N/A")</f>
        <v>N/A</v>
      </c>
      <c r="J62" s="5" t="str">
        <f>IFERROR(J15*100/'Annual Operational Data'!J$43, "N/A")</f>
        <v>N/A</v>
      </c>
      <c r="K62" s="5" t="str">
        <f>IFERROR(K15*100/'Annual Operational Data'!K$43, "N/A")</f>
        <v>N/A</v>
      </c>
      <c r="L62" s="5" t="str">
        <f>IFERROR(L15*100/'Annual Operational Data'!L$43, "N/A")</f>
        <v>N/A</v>
      </c>
      <c r="M62" s="5" t="str">
        <f>IFERROR(M15*100/'Annual Operational Data'!M$43, "N/A")</f>
        <v>N/A</v>
      </c>
    </row>
    <row r="63" spans="1:13" x14ac:dyDescent="0.3">
      <c r="A63" s="85" t="s">
        <v>0</v>
      </c>
      <c r="B63" s="61">
        <f t="shared" ref="B63" si="270">IFERROR((B62/A62)-1,0)</f>
        <v>0</v>
      </c>
      <c r="C63" s="61">
        <f t="shared" ref="C63" si="271">IFERROR((C62/B62)-1,0)</f>
        <v>0</v>
      </c>
      <c r="D63" s="61">
        <f t="shared" ref="D63" si="272">IFERROR((D62/C62)-1,0)</f>
        <v>0</v>
      </c>
      <c r="E63" s="61">
        <f t="shared" ref="E63" si="273">IFERROR((E62/D62)-1,0)</f>
        <v>0</v>
      </c>
      <c r="F63" s="61">
        <f t="shared" ref="F63" si="274">IFERROR((F62/E62)-1,0)</f>
        <v>0</v>
      </c>
      <c r="G63" s="61">
        <f t="shared" ref="G63" si="275">IFERROR((G62/F62)-1,0)</f>
        <v>0</v>
      </c>
      <c r="H63" s="61">
        <f t="shared" ref="H63" si="276">IFERROR((H62/G62)-1,0)</f>
        <v>0</v>
      </c>
      <c r="I63" s="61">
        <f t="shared" ref="I63" si="277">IFERROR((I62/H62)-1,0)</f>
        <v>0</v>
      </c>
      <c r="J63" s="61">
        <f t="shared" ref="J63" si="278">IFERROR((J62/I62)-1,0)</f>
        <v>0</v>
      </c>
      <c r="K63" s="61">
        <f t="shared" ref="K63" si="279">IFERROR((K62/J62)-1,0)</f>
        <v>0</v>
      </c>
      <c r="L63" s="61">
        <f t="shared" ref="L63" si="280">IFERROR((L62/K62)-1,0)</f>
        <v>0</v>
      </c>
      <c r="M63" s="61">
        <f t="shared" ref="M63" si="281">IFERROR((M62/L62)-1,0)</f>
        <v>0</v>
      </c>
    </row>
    <row r="64" spans="1:13" x14ac:dyDescent="0.3">
      <c r="A64" s="85" t="str">
        <f>("Total Cargo &amp; Other Revenue -: [cents/" &amp;'Annual Operational Data'!$A$43 &amp; "]")</f>
        <v>Total Cargo &amp; Other Revenue -: [cents/RTMs]</v>
      </c>
      <c r="B64" s="5" t="str">
        <f>IFERROR(B17*100/'Annual Operational Data'!B$43, "N/A")</f>
        <v>N/A</v>
      </c>
      <c r="C64" s="5" t="str">
        <f>IFERROR(C17*100/'Annual Operational Data'!C$43, "N/A")</f>
        <v>N/A</v>
      </c>
      <c r="D64" s="5" t="str">
        <f>IFERROR(D17*100/'Annual Operational Data'!D$43, "N/A")</f>
        <v>N/A</v>
      </c>
      <c r="E64" s="5" t="str">
        <f>IFERROR(E17*100/'Annual Operational Data'!E$43, "N/A")</f>
        <v>N/A</v>
      </c>
      <c r="F64" s="5" t="str">
        <f>IFERROR(F17*100/'Annual Operational Data'!F$43, "N/A")</f>
        <v>N/A</v>
      </c>
      <c r="G64" s="5" t="str">
        <f>IFERROR(G17*100/'Annual Operational Data'!G$43, "N/A")</f>
        <v>N/A</v>
      </c>
      <c r="H64" s="5" t="str">
        <f>IFERROR(H17*100/'Annual Operational Data'!H$43, "N/A")</f>
        <v>N/A</v>
      </c>
      <c r="I64" s="5" t="str">
        <f>IFERROR(I17*100/'Annual Operational Data'!I$43, "N/A")</f>
        <v>N/A</v>
      </c>
      <c r="J64" s="5" t="str">
        <f>IFERROR(J17*100/'Annual Operational Data'!J$43, "N/A")</f>
        <v>N/A</v>
      </c>
      <c r="K64" s="5" t="str">
        <f>IFERROR(K17*100/'Annual Operational Data'!K$43, "N/A")</f>
        <v>N/A</v>
      </c>
      <c r="L64" s="5" t="str">
        <f>IFERROR(L17*100/'Annual Operational Data'!L$43, "N/A")</f>
        <v>N/A</v>
      </c>
      <c r="M64" s="5" t="str">
        <f>IFERROR(M17*100/'Annual Operational Data'!M$43, "N/A")</f>
        <v>N/A</v>
      </c>
    </row>
    <row r="65" spans="1:13" x14ac:dyDescent="0.3">
      <c r="A65" s="85" t="s">
        <v>0</v>
      </c>
      <c r="B65" s="61">
        <f t="shared" ref="B65" si="282">IFERROR((B64/A64)-1,0)</f>
        <v>0</v>
      </c>
      <c r="C65" s="61">
        <f t="shared" ref="C65" si="283">IFERROR((C64/B64)-1,0)</f>
        <v>0</v>
      </c>
      <c r="D65" s="61">
        <f t="shared" ref="D65" si="284">IFERROR((D64/C64)-1,0)</f>
        <v>0</v>
      </c>
      <c r="E65" s="61">
        <f t="shared" ref="E65" si="285">IFERROR((E64/D64)-1,0)</f>
        <v>0</v>
      </c>
      <c r="F65" s="61">
        <f t="shared" ref="F65" si="286">IFERROR((F64/E64)-1,0)</f>
        <v>0</v>
      </c>
      <c r="G65" s="61">
        <f t="shared" ref="G65" si="287">IFERROR((G64/F64)-1,0)</f>
        <v>0</v>
      </c>
      <c r="H65" s="61">
        <f t="shared" ref="H65" si="288">IFERROR((H64/G64)-1,0)</f>
        <v>0</v>
      </c>
      <c r="I65" s="61">
        <f t="shared" ref="I65" si="289">IFERROR((I64/H64)-1,0)</f>
        <v>0</v>
      </c>
      <c r="J65" s="61">
        <f t="shared" ref="J65" si="290">IFERROR((J64/I64)-1,0)</f>
        <v>0</v>
      </c>
      <c r="K65" s="61">
        <f t="shared" ref="K65" si="291">IFERROR((K64/J64)-1,0)</f>
        <v>0</v>
      </c>
      <c r="L65" s="61">
        <f t="shared" ref="L65" si="292">IFERROR((L64/K64)-1,0)</f>
        <v>0</v>
      </c>
      <c r="M65" s="61">
        <f t="shared" ref="M65" si="293">IFERROR((M64/L64)-1,0)</f>
        <v>0</v>
      </c>
    </row>
    <row r="66" spans="1:13" x14ac:dyDescent="0.3">
      <c r="A66" s="14" t="str">
        <f>("Total Revenue -: [cents/"&amp;'Annual Operational Data'!$A$43 &amp; "]")</f>
        <v>Total Revenue -: [cents/RTMs]</v>
      </c>
      <c r="B66" s="5" t="str">
        <f>IFERROR(B19*100/'Annual Operational Data'!B$43, "N/A")</f>
        <v>N/A</v>
      </c>
      <c r="C66" s="5" t="str">
        <f>IFERROR(C19*100/'Annual Operational Data'!C$43, "N/A")</f>
        <v>N/A</v>
      </c>
      <c r="D66" s="5" t="str">
        <f>IFERROR(D19*100/'Annual Operational Data'!D$43, "N/A")</f>
        <v>N/A</v>
      </c>
      <c r="E66" s="5" t="str">
        <f>IFERROR(E19*100/'Annual Operational Data'!E$43, "N/A")</f>
        <v>N/A</v>
      </c>
      <c r="F66" s="5" t="str">
        <f>IFERROR(F19*100/'Annual Operational Data'!F$43, "N/A")</f>
        <v>N/A</v>
      </c>
      <c r="G66" s="5" t="str">
        <f>IFERROR(G19*100/'Annual Operational Data'!G$43, "N/A")</f>
        <v>N/A</v>
      </c>
      <c r="H66" s="5" t="str">
        <f>IFERROR(H19*100/'Annual Operational Data'!H$43, "N/A")</f>
        <v>N/A</v>
      </c>
      <c r="I66" s="5" t="str">
        <f>IFERROR(I19*100/'Annual Operational Data'!I$43, "N/A")</f>
        <v>N/A</v>
      </c>
      <c r="J66" s="5" t="str">
        <f>IFERROR(J19*100/'Annual Operational Data'!J$43, "N/A")</f>
        <v>N/A</v>
      </c>
      <c r="K66" s="5" t="str">
        <f>IFERROR(K19*100/'Annual Operational Data'!K$43, "N/A")</f>
        <v>N/A</v>
      </c>
      <c r="L66" s="5" t="str">
        <f>IFERROR(L19*100/'Annual Operational Data'!L$43, "N/A")</f>
        <v>N/A</v>
      </c>
      <c r="M66" s="5" t="str">
        <f>IFERROR(M19*100/'Annual Operational Data'!M$43, "N/A")</f>
        <v>N/A</v>
      </c>
    </row>
    <row r="67" spans="1:13" x14ac:dyDescent="0.3">
      <c r="A67" s="85" t="s">
        <v>0</v>
      </c>
      <c r="B67" s="61">
        <f t="shared" ref="B67" si="294">IFERROR((B66/A66)-1,0)</f>
        <v>0</v>
      </c>
      <c r="C67" s="61">
        <f t="shared" ref="C67" si="295">IFERROR((C66/B66)-1,0)</f>
        <v>0</v>
      </c>
      <c r="D67" s="61">
        <f t="shared" ref="D67" si="296">IFERROR((D66/C66)-1,0)</f>
        <v>0</v>
      </c>
      <c r="E67" s="61">
        <f t="shared" ref="E67" si="297">IFERROR((E66/D66)-1,0)</f>
        <v>0</v>
      </c>
      <c r="F67" s="61">
        <f t="shared" ref="F67" si="298">IFERROR((F66/E66)-1,0)</f>
        <v>0</v>
      </c>
      <c r="G67" s="61">
        <f t="shared" ref="G67" si="299">IFERROR((G66/F66)-1,0)</f>
        <v>0</v>
      </c>
      <c r="H67" s="61">
        <f t="shared" ref="H67" si="300">IFERROR((H66/G66)-1,0)</f>
        <v>0</v>
      </c>
      <c r="I67" s="61">
        <f t="shared" ref="I67" si="301">IFERROR((I66/H66)-1,0)</f>
        <v>0</v>
      </c>
      <c r="J67" s="61">
        <f t="shared" ref="J67" si="302">IFERROR((J66/I66)-1,0)</f>
        <v>0</v>
      </c>
      <c r="K67" s="61">
        <f t="shared" ref="K67" si="303">IFERROR((K66/J66)-1,0)</f>
        <v>0</v>
      </c>
      <c r="L67" s="61">
        <f t="shared" ref="L67" si="304">IFERROR((L66/K66)-1,0)</f>
        <v>0</v>
      </c>
      <c r="M67" s="61">
        <f t="shared" ref="M67" si="305">IFERROR((M66/L66)-1,0)</f>
        <v>0</v>
      </c>
    </row>
    <row r="68" spans="1:13" x14ac:dyDescent="0.3">
      <c r="A68" s="8" t="str">
        <f>IF(Inputs!$E$10 = "miles", "Per ATM:", "Per ATK:")</f>
        <v>Per ATM:</v>
      </c>
      <c r="B68" s="10"/>
      <c r="C68" s="10"/>
      <c r="D68" s="10"/>
      <c r="E68" s="10"/>
      <c r="F68" s="10"/>
      <c r="G68" s="10"/>
      <c r="H68" s="10"/>
      <c r="I68" s="10"/>
      <c r="J68" s="10"/>
      <c r="K68" s="10"/>
      <c r="L68" s="10"/>
      <c r="M68" s="10"/>
    </row>
    <row r="69" spans="1:13" x14ac:dyDescent="0.3">
      <c r="A69" s="85" t="str">
        <f>("Passenger Revenue -: [cents/" &amp;'Annual Operational Data'!$A$45 &amp; "]")</f>
        <v>Passenger Revenue -: [cents/ATMs]</v>
      </c>
      <c r="B69" s="5" t="str">
        <f>IFERROR(B9*100/'Annual Operational Data'!B$45, "N/A")</f>
        <v>N/A</v>
      </c>
      <c r="C69" s="5" t="str">
        <f>IFERROR(C9*100/'Annual Operational Data'!C$45, "N/A")</f>
        <v>N/A</v>
      </c>
      <c r="D69" s="5" t="str">
        <f>IFERROR(D9*100/'Annual Operational Data'!D$45, "N/A")</f>
        <v>N/A</v>
      </c>
      <c r="E69" s="5" t="str">
        <f>IFERROR(E9*100/'Annual Operational Data'!E$45, "N/A")</f>
        <v>N/A</v>
      </c>
      <c r="F69" s="5" t="str">
        <f>IFERROR(F9*100/'Annual Operational Data'!F$45, "N/A")</f>
        <v>N/A</v>
      </c>
      <c r="G69" s="5" t="str">
        <f>IFERROR(G9*100/'Annual Operational Data'!G$45, "N/A")</f>
        <v>N/A</v>
      </c>
      <c r="H69" s="5" t="str">
        <f>IFERROR(H9*100/'Annual Operational Data'!H$45, "N/A")</f>
        <v>N/A</v>
      </c>
      <c r="I69" s="5" t="str">
        <f>IFERROR(I9*100/'Annual Operational Data'!I$45, "N/A")</f>
        <v>N/A</v>
      </c>
      <c r="J69" s="5" t="str">
        <f>IFERROR(J9*100/'Annual Operational Data'!J$45, "N/A")</f>
        <v>N/A</v>
      </c>
      <c r="K69" s="5" t="str">
        <f>IFERROR(K9*100/'Annual Operational Data'!K$45, "N/A")</f>
        <v>N/A</v>
      </c>
      <c r="L69" s="5" t="str">
        <f>IFERROR(L9*100/'Annual Operational Data'!L$45, "N/A")</f>
        <v>N/A</v>
      </c>
      <c r="M69" s="5" t="str">
        <f>IFERROR(M9*100/'Annual Operational Data'!M$45, "N/A")</f>
        <v>N/A</v>
      </c>
    </row>
    <row r="70" spans="1:13" x14ac:dyDescent="0.3">
      <c r="A70" s="85" t="s">
        <v>0</v>
      </c>
      <c r="B70" s="61">
        <f t="shared" ref="B70" si="306">IFERROR((B69/A69)-1,0)</f>
        <v>0</v>
      </c>
      <c r="C70" s="61">
        <f t="shared" ref="C70" si="307">IFERROR((C69/B69)-1,0)</f>
        <v>0</v>
      </c>
      <c r="D70" s="61">
        <f t="shared" ref="D70" si="308">IFERROR((D69/C69)-1,0)</f>
        <v>0</v>
      </c>
      <c r="E70" s="61">
        <f t="shared" ref="E70" si="309">IFERROR((E69/D69)-1,0)</f>
        <v>0</v>
      </c>
      <c r="F70" s="61">
        <f t="shared" ref="F70" si="310">IFERROR((F69/E69)-1,0)</f>
        <v>0</v>
      </c>
      <c r="G70" s="61">
        <f t="shared" ref="G70" si="311">IFERROR((G69/F69)-1,0)</f>
        <v>0</v>
      </c>
      <c r="H70" s="61">
        <f t="shared" ref="H70" si="312">IFERROR((H69/G69)-1,0)</f>
        <v>0</v>
      </c>
      <c r="I70" s="61">
        <f t="shared" ref="I70" si="313">IFERROR((I69/H69)-1,0)</f>
        <v>0</v>
      </c>
      <c r="J70" s="61">
        <f t="shared" ref="J70" si="314">IFERROR((J69/I69)-1,0)</f>
        <v>0</v>
      </c>
      <c r="K70" s="61">
        <f t="shared" ref="K70" si="315">IFERROR((K69/J69)-1,0)</f>
        <v>0</v>
      </c>
      <c r="L70" s="61">
        <f t="shared" ref="L70" si="316">IFERROR((L69/K69)-1,0)</f>
        <v>0</v>
      </c>
      <c r="M70" s="61">
        <f t="shared" ref="M70" si="317">IFERROR((M69/L69)-1,0)</f>
        <v>0</v>
      </c>
    </row>
    <row r="71" spans="1:13" x14ac:dyDescent="0.3">
      <c r="A71" s="85" t="str">
        <f>("Cargo Revenue -: [cents/"&amp;'Annual Operational Data'!$A$45 &amp; "]")</f>
        <v>Cargo Revenue -: [cents/ATMs]</v>
      </c>
      <c r="B71" s="5" t="str">
        <f>IFERROR(B13*100/'Annual Operational Data'!B$45, "N/A")</f>
        <v>N/A</v>
      </c>
      <c r="C71" s="5" t="str">
        <f>IFERROR(C13*100/'Annual Operational Data'!C$45, "N/A")</f>
        <v>N/A</v>
      </c>
      <c r="D71" s="5" t="str">
        <f>IFERROR(D13*100/'Annual Operational Data'!D$45, "N/A")</f>
        <v>N/A</v>
      </c>
      <c r="E71" s="5" t="str">
        <f>IFERROR(E13*100/'Annual Operational Data'!E$45, "N/A")</f>
        <v>N/A</v>
      </c>
      <c r="F71" s="5" t="str">
        <f>IFERROR(F13*100/'Annual Operational Data'!F$45, "N/A")</f>
        <v>N/A</v>
      </c>
      <c r="G71" s="5" t="str">
        <f>IFERROR(G13*100/'Annual Operational Data'!G$45, "N/A")</f>
        <v>N/A</v>
      </c>
      <c r="H71" s="5" t="str">
        <f>IFERROR(H13*100/'Annual Operational Data'!H$45, "N/A")</f>
        <v>N/A</v>
      </c>
      <c r="I71" s="5" t="str">
        <f>IFERROR(I13*100/'Annual Operational Data'!I$45, "N/A")</f>
        <v>N/A</v>
      </c>
      <c r="J71" s="5" t="str">
        <f>IFERROR(J13*100/'Annual Operational Data'!J$45, "N/A")</f>
        <v>N/A</v>
      </c>
      <c r="K71" s="5" t="str">
        <f>IFERROR(K13*100/'Annual Operational Data'!K$45, "N/A")</f>
        <v>N/A</v>
      </c>
      <c r="L71" s="5" t="str">
        <f>IFERROR(L13*100/'Annual Operational Data'!L$45, "N/A")</f>
        <v>N/A</v>
      </c>
      <c r="M71" s="5" t="str">
        <f>IFERROR(M13*100/'Annual Operational Data'!M$45, "N/A")</f>
        <v>N/A</v>
      </c>
    </row>
    <row r="72" spans="1:13" x14ac:dyDescent="0.3">
      <c r="A72" s="85" t="s">
        <v>0</v>
      </c>
      <c r="B72" s="61">
        <f t="shared" ref="B72" si="318">IFERROR((B71/A71)-1,0)</f>
        <v>0</v>
      </c>
      <c r="C72" s="61">
        <f t="shared" ref="C72" si="319">IFERROR((C71/B71)-1,0)</f>
        <v>0</v>
      </c>
      <c r="D72" s="61">
        <f t="shared" ref="D72" si="320">IFERROR((D71/C71)-1,0)</f>
        <v>0</v>
      </c>
      <c r="E72" s="61">
        <f t="shared" ref="E72" si="321">IFERROR((E71/D71)-1,0)</f>
        <v>0</v>
      </c>
      <c r="F72" s="61">
        <f t="shared" ref="F72" si="322">IFERROR((F71/E71)-1,0)</f>
        <v>0</v>
      </c>
      <c r="G72" s="61">
        <f t="shared" ref="G72" si="323">IFERROR((G71/F71)-1,0)</f>
        <v>0</v>
      </c>
      <c r="H72" s="61">
        <f t="shared" ref="H72" si="324">IFERROR((H71/G71)-1,0)</f>
        <v>0</v>
      </c>
      <c r="I72" s="61">
        <f t="shared" ref="I72" si="325">IFERROR((I71/H71)-1,0)</f>
        <v>0</v>
      </c>
      <c r="J72" s="61">
        <f t="shared" ref="J72" si="326">IFERROR((J71/I71)-1,0)</f>
        <v>0</v>
      </c>
      <c r="K72" s="61">
        <f t="shared" ref="K72" si="327">IFERROR((K71/J71)-1,0)</f>
        <v>0</v>
      </c>
      <c r="L72" s="61">
        <f t="shared" ref="L72" si="328">IFERROR((L71/K71)-1,0)</f>
        <v>0</v>
      </c>
      <c r="M72" s="61">
        <f t="shared" ref="M72" si="329">IFERROR((M71/L71)-1,0)</f>
        <v>0</v>
      </c>
    </row>
    <row r="73" spans="1:13" x14ac:dyDescent="0.3">
      <c r="A73" s="85" t="str">
        <f>("Other Revenue  -: [cents/"&amp;'Annual Operational Data'!$A$45&amp;"]")</f>
        <v>Other Revenue  -: [cents/ATMs]</v>
      </c>
      <c r="B73" s="5" t="str">
        <f>IFERROR(B15*100/'Annual Operational Data'!B$45, "N/A")</f>
        <v>N/A</v>
      </c>
      <c r="C73" s="5" t="str">
        <f>IFERROR(C15*100/'Annual Operational Data'!C$45, "N/A")</f>
        <v>N/A</v>
      </c>
      <c r="D73" s="5" t="str">
        <f>IFERROR(D15*100/'Annual Operational Data'!D$45, "N/A")</f>
        <v>N/A</v>
      </c>
      <c r="E73" s="5" t="str">
        <f>IFERROR(E15*100/'Annual Operational Data'!E$45, "N/A")</f>
        <v>N/A</v>
      </c>
      <c r="F73" s="5" t="str">
        <f>IFERROR(F15*100/'Annual Operational Data'!F$45, "N/A")</f>
        <v>N/A</v>
      </c>
      <c r="G73" s="5" t="str">
        <f>IFERROR(G15*100/'Annual Operational Data'!G$45, "N/A")</f>
        <v>N/A</v>
      </c>
      <c r="H73" s="5" t="str">
        <f>IFERROR(H15*100/'Annual Operational Data'!H$45, "N/A")</f>
        <v>N/A</v>
      </c>
      <c r="I73" s="5" t="str">
        <f>IFERROR(I15*100/'Annual Operational Data'!I$45, "N/A")</f>
        <v>N/A</v>
      </c>
      <c r="J73" s="5" t="str">
        <f>IFERROR(J15*100/'Annual Operational Data'!J$45, "N/A")</f>
        <v>N/A</v>
      </c>
      <c r="K73" s="5" t="str">
        <f>IFERROR(K15*100/'Annual Operational Data'!K$45, "N/A")</f>
        <v>N/A</v>
      </c>
      <c r="L73" s="5" t="str">
        <f>IFERROR(L15*100/'Annual Operational Data'!L$45, "N/A")</f>
        <v>N/A</v>
      </c>
      <c r="M73" s="5" t="str">
        <f>IFERROR(M15*100/'Annual Operational Data'!M$45, "N/A")</f>
        <v>N/A</v>
      </c>
    </row>
    <row r="74" spans="1:13" x14ac:dyDescent="0.3">
      <c r="A74" s="85" t="s">
        <v>0</v>
      </c>
      <c r="B74" s="61">
        <f t="shared" ref="B74" si="330">IFERROR((B73/A73)-1,0)</f>
        <v>0</v>
      </c>
      <c r="C74" s="61">
        <f t="shared" ref="C74" si="331">IFERROR((C73/B73)-1,0)</f>
        <v>0</v>
      </c>
      <c r="D74" s="61">
        <f t="shared" ref="D74" si="332">IFERROR((D73/C73)-1,0)</f>
        <v>0</v>
      </c>
      <c r="E74" s="61">
        <f t="shared" ref="E74" si="333">IFERROR((E73/D73)-1,0)</f>
        <v>0</v>
      </c>
      <c r="F74" s="61">
        <f t="shared" ref="F74" si="334">IFERROR((F73/E73)-1,0)</f>
        <v>0</v>
      </c>
      <c r="G74" s="61">
        <f t="shared" ref="G74" si="335">IFERROR((G73/F73)-1,0)</f>
        <v>0</v>
      </c>
      <c r="H74" s="61">
        <f t="shared" ref="H74" si="336">IFERROR((H73/G73)-1,0)</f>
        <v>0</v>
      </c>
      <c r="I74" s="61">
        <f t="shared" ref="I74" si="337">IFERROR((I73/H73)-1,0)</f>
        <v>0</v>
      </c>
      <c r="J74" s="61">
        <f t="shared" ref="J74" si="338">IFERROR((J73/I73)-1,0)</f>
        <v>0</v>
      </c>
      <c r="K74" s="61">
        <f t="shared" ref="K74" si="339">IFERROR((K73/J73)-1,0)</f>
        <v>0</v>
      </c>
      <c r="L74" s="61">
        <f t="shared" ref="L74" si="340">IFERROR((L73/K73)-1,0)</f>
        <v>0</v>
      </c>
      <c r="M74" s="61">
        <f t="shared" ref="M74" si="341">IFERROR((M73/L73)-1,0)</f>
        <v>0</v>
      </c>
    </row>
    <row r="75" spans="1:13" x14ac:dyDescent="0.3">
      <c r="A75" s="85" t="str">
        <f>("Total Cargo &amp; Other Revenue -: [cents/" &amp;'Annual Operational Data'!$A$45 &amp; "]")</f>
        <v>Total Cargo &amp; Other Revenue -: [cents/ATMs]</v>
      </c>
      <c r="B75" s="5" t="str">
        <f>IFERROR(B17*100/'Annual Operational Data'!B$45, "N/A")</f>
        <v>N/A</v>
      </c>
      <c r="C75" s="5" t="str">
        <f>IFERROR(C17*100/'Annual Operational Data'!C$45, "N/A")</f>
        <v>N/A</v>
      </c>
      <c r="D75" s="5" t="str">
        <f>IFERROR(D17*100/'Annual Operational Data'!D$45, "N/A")</f>
        <v>N/A</v>
      </c>
      <c r="E75" s="5" t="str">
        <f>IFERROR(E17*100/'Annual Operational Data'!E$45, "N/A")</f>
        <v>N/A</v>
      </c>
      <c r="F75" s="5" t="str">
        <f>IFERROR(F17*100/'Annual Operational Data'!F$45, "N/A")</f>
        <v>N/A</v>
      </c>
      <c r="G75" s="5" t="str">
        <f>IFERROR(G17*100/'Annual Operational Data'!G$45, "N/A")</f>
        <v>N/A</v>
      </c>
      <c r="H75" s="5" t="str">
        <f>IFERROR(H17*100/'Annual Operational Data'!H$45, "N/A")</f>
        <v>N/A</v>
      </c>
      <c r="I75" s="5" t="str">
        <f>IFERROR(I17*100/'Annual Operational Data'!I$45, "N/A")</f>
        <v>N/A</v>
      </c>
      <c r="J75" s="5" t="str">
        <f>IFERROR(J17*100/'Annual Operational Data'!J$45, "N/A")</f>
        <v>N/A</v>
      </c>
      <c r="K75" s="5" t="str">
        <f>IFERROR(K17*100/'Annual Operational Data'!K$45, "N/A")</f>
        <v>N/A</v>
      </c>
      <c r="L75" s="5" t="str">
        <f>IFERROR(L17*100/'Annual Operational Data'!L$45, "N/A")</f>
        <v>N/A</v>
      </c>
      <c r="M75" s="5" t="str">
        <f>IFERROR(M17*100/'Annual Operational Data'!M$45, "N/A")</f>
        <v>N/A</v>
      </c>
    </row>
    <row r="76" spans="1:13" x14ac:dyDescent="0.3">
      <c r="A76" s="85" t="s">
        <v>0</v>
      </c>
      <c r="B76" s="61">
        <f t="shared" ref="B76" si="342">IFERROR((B75/A75)-1,0)</f>
        <v>0</v>
      </c>
      <c r="C76" s="61">
        <f t="shared" ref="C76" si="343">IFERROR((C75/B75)-1,0)</f>
        <v>0</v>
      </c>
      <c r="D76" s="61">
        <f t="shared" ref="D76" si="344">IFERROR((D75/C75)-1,0)</f>
        <v>0</v>
      </c>
      <c r="E76" s="61">
        <f t="shared" ref="E76" si="345">IFERROR((E75/D75)-1,0)</f>
        <v>0</v>
      </c>
      <c r="F76" s="61">
        <f t="shared" ref="F76" si="346">IFERROR((F75/E75)-1,0)</f>
        <v>0</v>
      </c>
      <c r="G76" s="61">
        <f t="shared" ref="G76" si="347">IFERROR((G75/F75)-1,0)</f>
        <v>0</v>
      </c>
      <c r="H76" s="61">
        <f t="shared" ref="H76" si="348">IFERROR((H75/G75)-1,0)</f>
        <v>0</v>
      </c>
      <c r="I76" s="61">
        <f t="shared" ref="I76" si="349">IFERROR((I75/H75)-1,0)</f>
        <v>0</v>
      </c>
      <c r="J76" s="61">
        <f t="shared" ref="J76" si="350">IFERROR((J75/I75)-1,0)</f>
        <v>0</v>
      </c>
      <c r="K76" s="61">
        <f t="shared" ref="K76" si="351">IFERROR((K75/J75)-1,0)</f>
        <v>0</v>
      </c>
      <c r="L76" s="61">
        <f t="shared" ref="L76" si="352">IFERROR((L75/K75)-1,0)</f>
        <v>0</v>
      </c>
      <c r="M76" s="61">
        <f t="shared" ref="M76" si="353">IFERROR((M75/L75)-1,0)</f>
        <v>0</v>
      </c>
    </row>
    <row r="77" spans="1:13" x14ac:dyDescent="0.3">
      <c r="A77" s="14" t="str">
        <f>("Total Revenue -: [cents/"&amp;'Annual Operational Data'!$A$45 &amp; "]")</f>
        <v>Total Revenue -: [cents/ATMs]</v>
      </c>
      <c r="B77" s="5" t="str">
        <f>IFERROR(B19*100/'Annual Operational Data'!B$45, "N/A")</f>
        <v>N/A</v>
      </c>
      <c r="C77" s="5" t="str">
        <f>IFERROR(C19*100/'Annual Operational Data'!C$45, "N/A")</f>
        <v>N/A</v>
      </c>
      <c r="D77" s="5" t="str">
        <f>IFERROR(D19*100/'Annual Operational Data'!D$45, "N/A")</f>
        <v>N/A</v>
      </c>
      <c r="E77" s="5" t="str">
        <f>IFERROR(E19*100/'Annual Operational Data'!E$45, "N/A")</f>
        <v>N/A</v>
      </c>
      <c r="F77" s="5" t="str">
        <f>IFERROR(F19*100/'Annual Operational Data'!F$45, "N/A")</f>
        <v>N/A</v>
      </c>
      <c r="G77" s="5" t="str">
        <f>IFERROR(G19*100/'Annual Operational Data'!G$45, "N/A")</f>
        <v>N/A</v>
      </c>
      <c r="H77" s="5" t="str">
        <f>IFERROR(H19*100/'Annual Operational Data'!H$45, "N/A")</f>
        <v>N/A</v>
      </c>
      <c r="I77" s="5" t="str">
        <f>IFERROR(I19*100/'Annual Operational Data'!I$45, "N/A")</f>
        <v>N/A</v>
      </c>
      <c r="J77" s="5" t="str">
        <f>IFERROR(J19*100/'Annual Operational Data'!J$45, "N/A")</f>
        <v>N/A</v>
      </c>
      <c r="K77" s="5" t="str">
        <f>IFERROR(K19*100/'Annual Operational Data'!K$45, "N/A")</f>
        <v>N/A</v>
      </c>
      <c r="L77" s="5" t="str">
        <f>IFERROR(L19*100/'Annual Operational Data'!L$45, "N/A")</f>
        <v>N/A</v>
      </c>
      <c r="M77" s="5" t="str">
        <f>IFERROR(M19*100/'Annual Operational Data'!M$45, "N/A")</f>
        <v>N/A</v>
      </c>
    </row>
    <row r="78" spans="1:13" x14ac:dyDescent="0.3">
      <c r="A78" s="85" t="s">
        <v>0</v>
      </c>
      <c r="B78" s="61">
        <f t="shared" ref="B78" si="354">IFERROR((B77/A77)-1,0)</f>
        <v>0</v>
      </c>
      <c r="C78" s="61">
        <f t="shared" ref="C78" si="355">IFERROR((C77/B77)-1,0)</f>
        <v>0</v>
      </c>
      <c r="D78" s="61">
        <f t="shared" ref="D78" si="356">IFERROR((D77/C77)-1,0)</f>
        <v>0</v>
      </c>
      <c r="E78" s="61">
        <f t="shared" ref="E78" si="357">IFERROR((E77/D77)-1,0)</f>
        <v>0</v>
      </c>
      <c r="F78" s="61">
        <f t="shared" ref="F78" si="358">IFERROR((F77/E77)-1,0)</f>
        <v>0</v>
      </c>
      <c r="G78" s="61">
        <f t="shared" ref="G78" si="359">IFERROR((G77/F77)-1,0)</f>
        <v>0</v>
      </c>
      <c r="H78" s="61">
        <f t="shared" ref="H78" si="360">IFERROR((H77/G77)-1,0)</f>
        <v>0</v>
      </c>
      <c r="I78" s="61">
        <f t="shared" ref="I78" si="361">IFERROR((I77/H77)-1,0)</f>
        <v>0</v>
      </c>
      <c r="J78" s="61">
        <f t="shared" ref="J78" si="362">IFERROR((J77/I77)-1,0)</f>
        <v>0</v>
      </c>
      <c r="K78" s="61">
        <f t="shared" ref="K78" si="363">IFERROR((K77/J77)-1,0)</f>
        <v>0</v>
      </c>
      <c r="L78" s="61">
        <f t="shared" ref="L78" si="364">IFERROR((L77/K77)-1,0)</f>
        <v>0</v>
      </c>
      <c r="M78" s="61">
        <f t="shared" ref="M78" si="365">IFERROR((M77/L77)-1,0)</f>
        <v>0</v>
      </c>
    </row>
    <row r="79" spans="1:13" x14ac:dyDescent="0.3">
      <c r="A79" s="8" t="s">
        <v>261</v>
      </c>
      <c r="B79" s="10"/>
      <c r="C79" s="10"/>
      <c r="D79" s="10"/>
      <c r="E79" s="10"/>
      <c r="F79" s="10"/>
      <c r="G79" s="10"/>
      <c r="H79" s="10"/>
      <c r="I79" s="10"/>
      <c r="J79" s="10"/>
      <c r="K79" s="10"/>
      <c r="L79" s="10"/>
      <c r="M79" s="10"/>
    </row>
    <row r="80" spans="1:13" x14ac:dyDescent="0.3">
      <c r="A80" s="14" t="s">
        <v>260</v>
      </c>
      <c r="B80" s="5">
        <v>0</v>
      </c>
      <c r="C80" s="5">
        <v>0</v>
      </c>
      <c r="D80" s="5">
        <v>0</v>
      </c>
      <c r="E80" s="5">
        <v>0</v>
      </c>
      <c r="F80" s="5">
        <v>0</v>
      </c>
      <c r="G80" s="5">
        <v>0</v>
      </c>
      <c r="H80" s="5">
        <v>0</v>
      </c>
      <c r="I80" s="5">
        <v>0</v>
      </c>
      <c r="J80" s="5">
        <v>0</v>
      </c>
      <c r="K80" s="5">
        <v>0</v>
      </c>
      <c r="L80" s="5">
        <v>0</v>
      </c>
      <c r="M80" s="5">
        <v>0</v>
      </c>
    </row>
    <row r="81" spans="1:13" x14ac:dyDescent="0.3">
      <c r="A81" s="57" t="s">
        <v>618</v>
      </c>
      <c r="B81" s="32"/>
      <c r="C81" s="32"/>
      <c r="D81" s="32"/>
      <c r="E81" s="32"/>
      <c r="F81" s="32"/>
      <c r="G81" s="32"/>
      <c r="H81" s="32"/>
      <c r="I81" s="32"/>
      <c r="J81" s="32"/>
      <c r="K81" s="32"/>
      <c r="L81" s="32"/>
      <c r="M81" s="32"/>
    </row>
    <row r="82" spans="1:13" x14ac:dyDescent="0.3">
      <c r="A82" s="85" t="s">
        <v>618</v>
      </c>
      <c r="B82" s="32"/>
      <c r="C82" s="32"/>
      <c r="D82" s="32"/>
      <c r="E82" s="32"/>
      <c r="F82" s="32"/>
      <c r="G82" s="32"/>
      <c r="H82" s="32"/>
      <c r="I82" s="32"/>
      <c r="J82" s="32"/>
      <c r="K82" s="32"/>
      <c r="L82" s="32"/>
      <c r="M82" s="32"/>
    </row>
    <row r="83" spans="1:13" x14ac:dyDescent="0.3">
      <c r="A83" s="85" t="s">
        <v>618</v>
      </c>
      <c r="B83" s="32"/>
      <c r="C83" s="32"/>
      <c r="D83" s="32"/>
      <c r="E83" s="32"/>
      <c r="F83" s="32"/>
      <c r="G83" s="32"/>
      <c r="H83" s="32"/>
      <c r="I83" s="32"/>
      <c r="J83" s="32"/>
      <c r="K83" s="32"/>
      <c r="L83" s="32"/>
      <c r="M83" s="32"/>
    </row>
    <row r="84" spans="1:13" x14ac:dyDescent="0.3">
      <c r="A84" s="85" t="s">
        <v>618</v>
      </c>
      <c r="B84" s="32"/>
      <c r="C84" s="32"/>
      <c r="D84" s="32"/>
      <c r="E84" s="32"/>
      <c r="F84" s="32"/>
      <c r="G84" s="32"/>
      <c r="H84" s="32"/>
      <c r="I84" s="32"/>
      <c r="J84" s="32"/>
      <c r="K84" s="32"/>
      <c r="L84" s="32"/>
      <c r="M84" s="32"/>
    </row>
    <row r="85" spans="1:13" x14ac:dyDescent="0.3">
      <c r="A85" s="85" t="s">
        <v>341</v>
      </c>
      <c r="B85" s="32"/>
      <c r="C85" s="32"/>
      <c r="D85" s="32"/>
      <c r="E85" s="32"/>
      <c r="F85" s="32"/>
      <c r="G85" s="32"/>
      <c r="H85" s="32"/>
      <c r="I85" s="32"/>
      <c r="J85" s="32"/>
      <c r="K85" s="32"/>
      <c r="L85" s="32"/>
      <c r="M85" s="32"/>
    </row>
    <row r="86" spans="1:13" s="44" customFormat="1" x14ac:dyDescent="0.3">
      <c r="A86" s="42" t="s">
        <v>257</v>
      </c>
      <c r="B86" s="65">
        <f t="shared" ref="B86:G86" si="366">SUM(B81:B85)</f>
        <v>0</v>
      </c>
      <c r="C86" s="65">
        <f>SUM(C81:C85)</f>
        <v>0</v>
      </c>
      <c r="D86" s="65">
        <f>SUM(D81:D85)</f>
        <v>0</v>
      </c>
      <c r="E86" s="65">
        <f t="shared" si="366"/>
        <v>0</v>
      </c>
      <c r="F86" s="65">
        <f t="shared" si="366"/>
        <v>0</v>
      </c>
      <c r="G86" s="65">
        <f t="shared" si="366"/>
        <v>0</v>
      </c>
      <c r="H86" s="65">
        <f t="shared" ref="H86:M86" si="367">SUM(H81:H85)</f>
        <v>0</v>
      </c>
      <c r="I86" s="65">
        <f t="shared" si="367"/>
        <v>0</v>
      </c>
      <c r="J86" s="65">
        <f t="shared" si="367"/>
        <v>0</v>
      </c>
      <c r="K86" s="65">
        <f t="shared" ref="K86:L86" si="368">SUM(K81:K85)</f>
        <v>0</v>
      </c>
      <c r="L86" s="65">
        <f t="shared" si="368"/>
        <v>0</v>
      </c>
      <c r="M86" s="65">
        <f t="shared" si="367"/>
        <v>0</v>
      </c>
    </row>
    <row r="87" spans="1:13" x14ac:dyDescent="0.3">
      <c r="A87" s="8" t="s">
        <v>259</v>
      </c>
      <c r="B87" s="10"/>
      <c r="C87" s="10"/>
      <c r="D87" s="10"/>
      <c r="E87" s="10"/>
      <c r="F87" s="10"/>
      <c r="G87" s="10"/>
      <c r="H87" s="10"/>
      <c r="I87" s="10"/>
      <c r="J87" s="10"/>
      <c r="K87" s="10"/>
      <c r="L87" s="10"/>
      <c r="M87" s="10"/>
    </row>
    <row r="88" spans="1:13" x14ac:dyDescent="0.3">
      <c r="A88" s="85" t="s">
        <v>618</v>
      </c>
      <c r="B88" s="61" t="str">
        <f>IFERROR(B81/B$86,"")</f>
        <v/>
      </c>
      <c r="C88" s="61" t="str">
        <f t="shared" ref="C88:G88" si="369">IFERROR(C81/C$86,"")</f>
        <v/>
      </c>
      <c r="D88" s="61" t="str">
        <f t="shared" si="369"/>
        <v/>
      </c>
      <c r="E88" s="61" t="str">
        <f t="shared" si="369"/>
        <v/>
      </c>
      <c r="F88" s="61" t="str">
        <f t="shared" si="369"/>
        <v/>
      </c>
      <c r="G88" s="61" t="str">
        <f t="shared" si="369"/>
        <v/>
      </c>
      <c r="H88" s="61" t="str">
        <f t="shared" ref="H88:M88" si="370">IFERROR(H81/H$86,"")</f>
        <v/>
      </c>
      <c r="I88" s="61" t="str">
        <f t="shared" si="370"/>
        <v/>
      </c>
      <c r="J88" s="61" t="str">
        <f t="shared" si="370"/>
        <v/>
      </c>
      <c r="K88" s="61" t="str">
        <f t="shared" ref="K88:L88" si="371">IFERROR(K81/K$86,"")</f>
        <v/>
      </c>
      <c r="L88" s="61" t="str">
        <f t="shared" si="371"/>
        <v/>
      </c>
      <c r="M88" s="61" t="str">
        <f t="shared" si="370"/>
        <v/>
      </c>
    </row>
    <row r="89" spans="1:13" x14ac:dyDescent="0.3">
      <c r="A89" s="85" t="s">
        <v>618</v>
      </c>
      <c r="B89" s="61" t="str">
        <f t="shared" ref="B89:G89" si="372">IFERROR(B82/B$86,"")</f>
        <v/>
      </c>
      <c r="C89" s="61" t="str">
        <f t="shared" si="372"/>
        <v/>
      </c>
      <c r="D89" s="61" t="str">
        <f t="shared" si="372"/>
        <v/>
      </c>
      <c r="E89" s="61" t="str">
        <f t="shared" si="372"/>
        <v/>
      </c>
      <c r="F89" s="61" t="str">
        <f t="shared" si="372"/>
        <v/>
      </c>
      <c r="G89" s="61" t="str">
        <f t="shared" si="372"/>
        <v/>
      </c>
      <c r="H89" s="61" t="str">
        <f t="shared" ref="H89:M89" si="373">IFERROR(H82/H$86,"")</f>
        <v/>
      </c>
      <c r="I89" s="61" t="str">
        <f t="shared" si="373"/>
        <v/>
      </c>
      <c r="J89" s="61" t="str">
        <f t="shared" si="373"/>
        <v/>
      </c>
      <c r="K89" s="61" t="str">
        <f t="shared" ref="K89:L89" si="374">IFERROR(K82/K$86,"")</f>
        <v/>
      </c>
      <c r="L89" s="61" t="str">
        <f t="shared" si="374"/>
        <v/>
      </c>
      <c r="M89" s="61" t="str">
        <f t="shared" si="373"/>
        <v/>
      </c>
    </row>
    <row r="90" spans="1:13" x14ac:dyDescent="0.3">
      <c r="A90" s="85" t="s">
        <v>618</v>
      </c>
      <c r="B90" s="61" t="str">
        <f t="shared" ref="B90:G90" si="375">IFERROR(B83/B$86,"")</f>
        <v/>
      </c>
      <c r="C90" s="61" t="str">
        <f t="shared" si="375"/>
        <v/>
      </c>
      <c r="D90" s="61" t="str">
        <f t="shared" si="375"/>
        <v/>
      </c>
      <c r="E90" s="61" t="str">
        <f t="shared" si="375"/>
        <v/>
      </c>
      <c r="F90" s="61" t="str">
        <f t="shared" si="375"/>
        <v/>
      </c>
      <c r="G90" s="61" t="str">
        <f t="shared" si="375"/>
        <v/>
      </c>
      <c r="H90" s="61" t="str">
        <f t="shared" ref="H90:M90" si="376">IFERROR(H83/H$86,"")</f>
        <v/>
      </c>
      <c r="I90" s="61" t="str">
        <f t="shared" si="376"/>
        <v/>
      </c>
      <c r="J90" s="61" t="str">
        <f t="shared" si="376"/>
        <v/>
      </c>
      <c r="K90" s="61" t="str">
        <f t="shared" ref="K90:L90" si="377">IFERROR(K83/K$86,"")</f>
        <v/>
      </c>
      <c r="L90" s="61" t="str">
        <f t="shared" si="377"/>
        <v/>
      </c>
      <c r="M90" s="61" t="str">
        <f t="shared" si="376"/>
        <v/>
      </c>
    </row>
    <row r="91" spans="1:13" x14ac:dyDescent="0.3">
      <c r="A91" s="85" t="s">
        <v>618</v>
      </c>
      <c r="B91" s="61" t="str">
        <f t="shared" ref="B91:G91" si="378">IFERROR(B84/B$86,"")</f>
        <v/>
      </c>
      <c r="C91" s="61" t="str">
        <f t="shared" si="378"/>
        <v/>
      </c>
      <c r="D91" s="61" t="str">
        <f t="shared" si="378"/>
        <v/>
      </c>
      <c r="E91" s="61" t="str">
        <f t="shared" si="378"/>
        <v/>
      </c>
      <c r="F91" s="61" t="str">
        <f t="shared" si="378"/>
        <v/>
      </c>
      <c r="G91" s="61" t="str">
        <f t="shared" si="378"/>
        <v/>
      </c>
      <c r="H91" s="61" t="str">
        <f t="shared" ref="H91:M91" si="379">IFERROR(H84/H$86,"")</f>
        <v/>
      </c>
      <c r="I91" s="61" t="str">
        <f t="shared" si="379"/>
        <v/>
      </c>
      <c r="J91" s="61" t="str">
        <f t="shared" si="379"/>
        <v/>
      </c>
      <c r="K91" s="61" t="str">
        <f t="shared" ref="K91:L91" si="380">IFERROR(K84/K$86,"")</f>
        <v/>
      </c>
      <c r="L91" s="61" t="str">
        <f t="shared" si="380"/>
        <v/>
      </c>
      <c r="M91" s="61" t="str">
        <f t="shared" si="379"/>
        <v/>
      </c>
    </row>
    <row r="92" spans="1:13" x14ac:dyDescent="0.3">
      <c r="A92" s="85" t="s">
        <v>341</v>
      </c>
      <c r="B92" s="61" t="str">
        <f t="shared" ref="B92:G92" si="381">IFERROR(B85/B$86,"")</f>
        <v/>
      </c>
      <c r="C92" s="61" t="str">
        <f t="shared" si="381"/>
        <v/>
      </c>
      <c r="D92" s="61" t="str">
        <f t="shared" si="381"/>
        <v/>
      </c>
      <c r="E92" s="61" t="str">
        <f t="shared" si="381"/>
        <v/>
      </c>
      <c r="F92" s="61" t="str">
        <f t="shared" si="381"/>
        <v/>
      </c>
      <c r="G92" s="61" t="str">
        <f t="shared" si="381"/>
        <v/>
      </c>
      <c r="H92" s="61" t="str">
        <f t="shared" ref="H92:M92" si="382">IFERROR(H85/H$86,"")</f>
        <v/>
      </c>
      <c r="I92" s="61" t="str">
        <f t="shared" si="382"/>
        <v/>
      </c>
      <c r="J92" s="61" t="str">
        <f t="shared" si="382"/>
        <v/>
      </c>
      <c r="K92" s="61" t="str">
        <f t="shared" ref="K92:L92" si="383">IFERROR(K85/K$86,"")</f>
        <v/>
      </c>
      <c r="L92" s="61" t="str">
        <f t="shared" si="383"/>
        <v/>
      </c>
      <c r="M92" s="61" t="str">
        <f t="shared" si="382"/>
        <v/>
      </c>
    </row>
    <row r="93" spans="1:13" x14ac:dyDescent="0.3">
      <c r="A93" s="85" t="s">
        <v>304</v>
      </c>
      <c r="B93" s="2">
        <f>SUM(B88:B92)</f>
        <v>0</v>
      </c>
      <c r="C93" s="2">
        <f>SUM(C88:C92)</f>
        <v>0</v>
      </c>
      <c r="D93" s="2">
        <f t="shared" ref="D93:G93" si="384">SUM(D88:D92)</f>
        <v>0</v>
      </c>
      <c r="E93" s="2">
        <f t="shared" si="384"/>
        <v>0</v>
      </c>
      <c r="F93" s="2">
        <f t="shared" si="384"/>
        <v>0</v>
      </c>
      <c r="G93" s="2">
        <f t="shared" si="384"/>
        <v>0</v>
      </c>
      <c r="H93" s="2">
        <f t="shared" ref="H93:M93" si="385">SUM(H88:H92)</f>
        <v>0</v>
      </c>
      <c r="I93" s="2">
        <f t="shared" si="385"/>
        <v>0</v>
      </c>
      <c r="J93" s="2">
        <f t="shared" si="385"/>
        <v>0</v>
      </c>
      <c r="K93" s="2">
        <f t="shared" ref="K93:L93" si="386">SUM(K88:K92)</f>
        <v>0</v>
      </c>
      <c r="L93" s="2">
        <f t="shared" si="386"/>
        <v>0</v>
      </c>
      <c r="M93" s="2">
        <f t="shared" si="385"/>
        <v>0</v>
      </c>
    </row>
  </sheetData>
  <mergeCells count="1">
    <mergeCell ref="A1:M1"/>
  </mergeCells>
  <pageMargins left="0.70866141732283472" right="0.70866141732283472" top="0.74803149606299213" bottom="0.74803149606299213" header="0.31496062992125984" footer="0.31496062992125984"/>
  <pageSetup paperSize="9" scale="77" orientation="portrait" r:id="rId1"/>
  <headerFooter alignWithMargins="0"/>
  <rowBreaks count="1" manualBreakCount="1">
    <brk id="67" max="7" man="1"/>
  </rowBreaks>
  <ignoredErrors>
    <ignoredError sqref="C93:G93 B54:G54 B86:G87 B11 B13 B21:G21 C22:G22 C24:G26 B27:G28 B43 B41:G41 B38 B33:B36 B31:B32 B15:B20 B29:B30 B39:B40 B46:B53 B57:G57 B55:B56 B68:G68 B58:B67 B79:G80 B69:B7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A1:Z94"/>
  <sheetViews>
    <sheetView zoomScaleNormal="100" workbookViewId="0">
      <pane xSplit="1" ySplit="7" topLeftCell="B49" activePane="bottomRight" state="frozen"/>
      <selection pane="topRight" activeCell="B1" sqref="B1"/>
      <selection pane="bottomLeft" activeCell="A8" sqref="A8"/>
      <selection pane="bottomRight" activeCell="K52" sqref="K52"/>
    </sheetView>
  </sheetViews>
  <sheetFormatPr defaultColWidth="8.88671875" defaultRowHeight="14.4" x14ac:dyDescent="0.3"/>
  <cols>
    <col min="1" max="1" width="36.44140625" style="13" bestFit="1" customWidth="1"/>
    <col min="2" max="2" width="11.44140625" style="13" bestFit="1" customWidth="1"/>
    <col min="3" max="4" width="11.109375" style="13" bestFit="1" customWidth="1"/>
    <col min="5" max="6" width="10.6640625" style="13" bestFit="1" customWidth="1"/>
    <col min="7" max="7" width="10.44140625" style="13" bestFit="1" customWidth="1"/>
    <col min="8" max="13" width="11" style="13" customWidth="1"/>
    <col min="14" max="16384" width="8.88671875" style="13"/>
  </cols>
  <sheetData>
    <row r="1" spans="1:26" ht="28.8" x14ac:dyDescent="0.55000000000000004">
      <c r="A1" s="349" t="str">
        <f>(Inputs!E9 &amp; " - Revenue Analysis " &amp; Inputs!E19)</f>
        <v>Air Canada - Revenue Analysis US$</v>
      </c>
      <c r="B1" s="349"/>
      <c r="C1" s="349"/>
      <c r="D1" s="349"/>
      <c r="E1" s="349"/>
      <c r="F1" s="349"/>
      <c r="G1" s="349"/>
      <c r="H1" s="349"/>
      <c r="I1" s="349"/>
      <c r="J1" s="349"/>
      <c r="K1" s="349"/>
      <c r="L1" s="349"/>
      <c r="M1" s="349"/>
    </row>
    <row r="2" spans="1:26" x14ac:dyDescent="0.3">
      <c r="A2" s="3"/>
      <c r="B2" s="3" t="s">
        <v>11</v>
      </c>
      <c r="C2" s="3" t="s">
        <v>11</v>
      </c>
      <c r="D2" s="3" t="s">
        <v>11</v>
      </c>
      <c r="E2" s="3" t="s">
        <v>11</v>
      </c>
      <c r="F2" s="3" t="s">
        <v>11</v>
      </c>
      <c r="G2" s="3" t="s">
        <v>11</v>
      </c>
      <c r="H2" s="3" t="s">
        <v>11</v>
      </c>
      <c r="I2" s="3" t="s">
        <v>11</v>
      </c>
      <c r="J2" s="3" t="s">
        <v>11</v>
      </c>
      <c r="K2" s="3" t="s">
        <v>11</v>
      </c>
      <c r="L2" s="3" t="s">
        <v>11</v>
      </c>
      <c r="M2" s="3" t="s">
        <v>11</v>
      </c>
      <c r="N2" s="16"/>
      <c r="O2" s="16"/>
      <c r="P2" s="16"/>
      <c r="Q2" s="16"/>
      <c r="R2" s="16"/>
      <c r="S2" s="16"/>
      <c r="T2" s="16"/>
      <c r="U2" s="16"/>
      <c r="V2" s="16"/>
      <c r="W2" s="16"/>
      <c r="X2" s="16"/>
      <c r="Y2" s="16"/>
      <c r="Z2" s="16"/>
    </row>
    <row r="3" spans="1:26" x14ac:dyDescent="0.3">
      <c r="A3" s="3"/>
      <c r="B3" s="7">
        <f>'Revenue Analysis Reported'!B3</f>
        <v>40543</v>
      </c>
      <c r="C3" s="7">
        <f>'Revenue Analysis Reported'!C3</f>
        <v>40908</v>
      </c>
      <c r="D3" s="7">
        <f>'Revenue Analysis Reported'!D3</f>
        <v>41274</v>
      </c>
      <c r="E3" s="7">
        <f>'Revenue Analysis Reported'!E3</f>
        <v>41639</v>
      </c>
      <c r="F3" s="7">
        <f>'Revenue Analysis Reported'!F3</f>
        <v>42004</v>
      </c>
      <c r="G3" s="7">
        <f>'Revenue Analysis Reported'!G3</f>
        <v>42369</v>
      </c>
      <c r="H3" s="7">
        <f>'Revenue Analysis Reported'!H3</f>
        <v>42735</v>
      </c>
      <c r="I3" s="7">
        <f>'Revenue Analysis Reported'!I3</f>
        <v>43100</v>
      </c>
      <c r="J3" s="7">
        <f>'Revenue Analysis Reported'!J3</f>
        <v>43465</v>
      </c>
      <c r="K3" s="7">
        <f>'Revenue Analysis Reported'!K3</f>
        <v>43830</v>
      </c>
      <c r="L3" s="7">
        <f>'Revenue Analysis Reported'!L3</f>
        <v>44196</v>
      </c>
      <c r="M3" s="7">
        <f>'Revenue Analysis Reported'!M3</f>
        <v>44469</v>
      </c>
      <c r="N3" s="16"/>
      <c r="O3" s="16"/>
      <c r="P3" s="16"/>
      <c r="Q3" s="16"/>
      <c r="R3" s="16"/>
      <c r="S3" s="16"/>
      <c r="T3" s="16"/>
      <c r="U3" s="16"/>
      <c r="V3" s="16"/>
      <c r="W3" s="16"/>
      <c r="X3" s="16"/>
      <c r="Y3" s="16"/>
      <c r="Z3" s="16"/>
    </row>
    <row r="4" spans="1:26" x14ac:dyDescent="0.3">
      <c r="A4" s="3"/>
      <c r="B4" s="3" t="s">
        <v>1</v>
      </c>
      <c r="C4" s="3" t="s">
        <v>1</v>
      </c>
      <c r="D4" s="3" t="s">
        <v>1</v>
      </c>
      <c r="E4" s="3" t="s">
        <v>1</v>
      </c>
      <c r="F4" s="3" t="s">
        <v>1</v>
      </c>
      <c r="G4" s="3" t="s">
        <v>1</v>
      </c>
      <c r="H4" s="3" t="s">
        <v>1</v>
      </c>
      <c r="I4" s="3" t="s">
        <v>1</v>
      </c>
      <c r="J4" s="3" t="s">
        <v>1</v>
      </c>
      <c r="K4" s="3" t="s">
        <v>1</v>
      </c>
      <c r="L4" s="3" t="s">
        <v>1</v>
      </c>
      <c r="M4" s="3" t="s">
        <v>1</v>
      </c>
      <c r="N4" s="16"/>
      <c r="O4" s="16"/>
      <c r="P4" s="16"/>
      <c r="Q4" s="16"/>
      <c r="R4" s="16"/>
      <c r="S4" s="16"/>
      <c r="T4" s="16"/>
      <c r="U4" s="16"/>
      <c r="V4" s="16"/>
      <c r="W4" s="16"/>
      <c r="X4" s="16"/>
      <c r="Y4" s="16"/>
      <c r="Z4" s="16"/>
    </row>
    <row r="5" spans="1:26" x14ac:dyDescent="0.3">
      <c r="A5" s="3"/>
      <c r="B5" s="3" t="str">
        <f>Inputs!$E$19</f>
        <v>US$</v>
      </c>
      <c r="C5" s="3" t="str">
        <f>Inputs!$E$19</f>
        <v>US$</v>
      </c>
      <c r="D5" s="3" t="str">
        <f>Inputs!$E$19</f>
        <v>US$</v>
      </c>
      <c r="E5" s="3" t="str">
        <f>Inputs!$E$19</f>
        <v>US$</v>
      </c>
      <c r="F5" s="3" t="str">
        <f>Inputs!$E$19</f>
        <v>US$</v>
      </c>
      <c r="G5" s="3" t="str">
        <f>Inputs!$E$19</f>
        <v>US$</v>
      </c>
      <c r="H5" s="3" t="str">
        <f>Inputs!$E$19</f>
        <v>US$</v>
      </c>
      <c r="I5" s="3" t="str">
        <f>Inputs!$E$19</f>
        <v>US$</v>
      </c>
      <c r="J5" s="3" t="str">
        <f>Inputs!$E$19</f>
        <v>US$</v>
      </c>
      <c r="K5" s="3" t="str">
        <f>Inputs!$E$19</f>
        <v>US$</v>
      </c>
      <c r="L5" s="3" t="str">
        <f>Inputs!$E$19</f>
        <v>US$</v>
      </c>
      <c r="M5" s="3" t="str">
        <f>Inputs!$E$19</f>
        <v>US$</v>
      </c>
      <c r="N5" s="16"/>
      <c r="O5" s="16"/>
      <c r="P5" s="16"/>
      <c r="Q5" s="16"/>
      <c r="R5" s="16"/>
      <c r="S5" s="16"/>
      <c r="T5" s="16"/>
      <c r="U5" s="16"/>
      <c r="V5" s="16"/>
      <c r="W5" s="16"/>
      <c r="X5" s="16"/>
      <c r="Y5" s="16"/>
      <c r="Z5" s="16"/>
    </row>
    <row r="6" spans="1:26" x14ac:dyDescent="0.3">
      <c r="A6" s="3"/>
      <c r="B6" s="3" t="str">
        <f>(Inputs!$E$19 &amp; " / " &amp;Inputs!$E$18)</f>
        <v>US$ / CAD</v>
      </c>
      <c r="C6" s="3" t="str">
        <f>(Inputs!$E$19 &amp; " / " &amp;Inputs!$E$18)</f>
        <v>US$ / CAD</v>
      </c>
      <c r="D6" s="3" t="str">
        <f>(Inputs!$E$19 &amp; " / " &amp;Inputs!$E$18)</f>
        <v>US$ / CAD</v>
      </c>
      <c r="E6" s="3" t="str">
        <f>(Inputs!$E$19 &amp; " / " &amp;Inputs!$E$18)</f>
        <v>US$ / CAD</v>
      </c>
      <c r="F6" s="3" t="str">
        <f>(Inputs!$E$19 &amp; " / " &amp;Inputs!$E$18)</f>
        <v>US$ / CAD</v>
      </c>
      <c r="G6" s="3" t="str">
        <f>(Inputs!$E$19 &amp; " / " &amp;Inputs!$E$18)</f>
        <v>US$ / CAD</v>
      </c>
      <c r="H6" s="3" t="str">
        <f>(Inputs!$E$19 &amp; " / " &amp;Inputs!$E$18)</f>
        <v>US$ / CAD</v>
      </c>
      <c r="I6" s="3" t="str">
        <f>(Inputs!$E$19 &amp; " / " &amp;Inputs!$E$18)</f>
        <v>US$ / CAD</v>
      </c>
      <c r="J6" s="3" t="str">
        <f>(Inputs!$E$19 &amp; " / " &amp;Inputs!$E$18)</f>
        <v>US$ / CAD</v>
      </c>
      <c r="K6" s="3" t="str">
        <f>(Inputs!$E$19 &amp; " / " &amp;Inputs!$E$18)</f>
        <v>US$ / CAD</v>
      </c>
      <c r="L6" s="3" t="str">
        <f>(Inputs!$E$19 &amp; " / " &amp;Inputs!$E$18)</f>
        <v>US$ / CAD</v>
      </c>
      <c r="M6" s="3" t="str">
        <f>(Inputs!$E$19 &amp; " / " &amp;Inputs!$E$18)</f>
        <v>US$ / CAD</v>
      </c>
      <c r="N6" s="16"/>
      <c r="O6" s="16"/>
      <c r="P6" s="16"/>
      <c r="Q6" s="16"/>
      <c r="R6" s="16"/>
      <c r="S6" s="16"/>
      <c r="T6" s="16"/>
      <c r="U6" s="16"/>
      <c r="V6" s="16"/>
      <c r="W6" s="16"/>
      <c r="X6" s="16"/>
      <c r="Y6" s="16"/>
      <c r="Z6" s="16"/>
    </row>
    <row r="7" spans="1:26" x14ac:dyDescent="0.3">
      <c r="A7" s="3"/>
      <c r="B7" s="83">
        <f>'Annual Income Statement US$'!B7</f>
        <v>1.0301899999999999</v>
      </c>
      <c r="C7" s="83">
        <f>'Annual Income Statement US$'!C7</f>
        <v>0.98882999999999999</v>
      </c>
      <c r="D7" s="83">
        <f>'Annual Income Statement US$'!D7</f>
        <v>0.99963999999999997</v>
      </c>
      <c r="E7" s="83">
        <f>'Annual Income Statement US$'!E7</f>
        <v>1.0298</v>
      </c>
      <c r="F7" s="83">
        <f>'Annual Income Statement US$'!F7</f>
        <v>1.0407</v>
      </c>
      <c r="G7" s="83">
        <f>'Annual Income Statement US$'!G7</f>
        <v>1.27763</v>
      </c>
      <c r="H7" s="83">
        <f>'Annual Income Statement US$'!H7</f>
        <v>1.32524</v>
      </c>
      <c r="I7" s="83">
        <f>'Annual Income Statement US$'!I7</f>
        <v>1.2981288461538452</v>
      </c>
      <c r="J7" s="83">
        <f>'Annual Income Statement US$'!J7</f>
        <v>1.2959680076628346</v>
      </c>
      <c r="K7" s="83">
        <f>'Annual Income Statement US$'!K7</f>
        <v>1.3269</v>
      </c>
      <c r="L7" s="83">
        <f>'Annual Income Statement US$'!L7</f>
        <v>1.31555</v>
      </c>
      <c r="M7" s="83">
        <f>'Annual Income Statement US$'!M7</f>
        <v>1.2986</v>
      </c>
      <c r="N7" s="16"/>
      <c r="O7" s="16"/>
      <c r="P7" s="16"/>
      <c r="Q7" s="16"/>
      <c r="R7" s="16"/>
      <c r="S7" s="16"/>
      <c r="T7" s="16"/>
      <c r="U7" s="16"/>
      <c r="V7" s="16"/>
      <c r="W7" s="16"/>
      <c r="X7" s="16"/>
      <c r="Y7" s="16"/>
      <c r="Z7" s="16"/>
    </row>
    <row r="8" spans="1:26" x14ac:dyDescent="0.3">
      <c r="A8" s="8" t="s">
        <v>267</v>
      </c>
      <c r="B8" s="10"/>
      <c r="C8" s="10"/>
      <c r="D8" s="10"/>
      <c r="E8" s="10"/>
      <c r="F8" s="10"/>
      <c r="G8" s="10"/>
      <c r="H8" s="18"/>
      <c r="I8" s="18"/>
      <c r="J8" s="18"/>
      <c r="K8" s="18"/>
      <c r="L8" s="18"/>
      <c r="M8" s="18"/>
    </row>
    <row r="9" spans="1:26" x14ac:dyDescent="0.3">
      <c r="A9" s="85" t="s">
        <v>615</v>
      </c>
      <c r="B9" s="21">
        <f>'Annual Income Statement US$'!B8</f>
        <v>9150.7391840340133</v>
      </c>
      <c r="C9" s="21">
        <f>'Annual Income Statement US$'!C8</f>
        <v>10323.311388206264</v>
      </c>
      <c r="D9" s="21">
        <f>'Annual Income Statement US$'!D8</f>
        <v>10740.866712016326</v>
      </c>
      <c r="E9" s="21">
        <f>'Annual Income Statement US$'!E8</f>
        <v>10702.078073412313</v>
      </c>
      <c r="F9" s="21">
        <f>'Annual Income Statement US$'!F8</f>
        <v>11342.365715383876</v>
      </c>
      <c r="G9" s="21">
        <f>'Annual Income Statement US$'!G8</f>
        <v>9721.1242691546067</v>
      </c>
      <c r="H9" s="21">
        <f>'Annual Income Statement US$'!H8</f>
        <v>9921.2218164257047</v>
      </c>
      <c r="I9" s="21">
        <f>'Annual Income Statement US$'!I8</f>
        <v>11147.583726280587</v>
      </c>
      <c r="J9" s="21">
        <f>'Annual Income Statement US$'!J8</f>
        <v>12470.215240224145</v>
      </c>
      <c r="K9" s="21">
        <f>'Annual Income Statement US$'!K8</f>
        <v>12986.660637576306</v>
      </c>
      <c r="L9" s="21">
        <f>'Annual Income Statement US$'!L8</f>
        <v>3330.9262285736004</v>
      </c>
      <c r="M9" s="21">
        <f>'Annual Income Statement US$'!M8</f>
        <v>2257.8161096565532</v>
      </c>
    </row>
    <row r="10" spans="1:26" x14ac:dyDescent="0.3">
      <c r="A10" s="85" t="s">
        <v>0</v>
      </c>
      <c r="B10" s="61">
        <f t="shared" ref="B10" si="0">IFERROR((B9/A9)-1,0)</f>
        <v>0</v>
      </c>
      <c r="C10" s="61">
        <f t="shared" ref="C10" si="1">IFERROR((C9/B9)-1,0)</f>
        <v>0.12813961589224698</v>
      </c>
      <c r="D10" s="61">
        <f t="shared" ref="D10" si="2">IFERROR((D9/C9)-1,0)</f>
        <v>4.044780866409714E-2</v>
      </c>
      <c r="E10" s="61">
        <f t="shared" ref="E10" si="3">IFERROR((E9/D9)-1,0)</f>
        <v>-3.6113136531727985E-3</v>
      </c>
      <c r="F10" s="61">
        <f t="shared" ref="F10" si="4">IFERROR((F9/E9)-1,0)</f>
        <v>5.9828347128420001E-2</v>
      </c>
      <c r="G10" s="61">
        <f t="shared" ref="G10" si="5">IFERROR((G9/F9)-1,0)</f>
        <v>-0.14293679880471033</v>
      </c>
      <c r="H10" s="61">
        <f t="shared" ref="H10" si="6">IFERROR((H9/G9)-1,0)</f>
        <v>2.0583786579708052E-2</v>
      </c>
      <c r="I10" s="61">
        <f t="shared" ref="I10" si="7">IFERROR((I9/H9)-1,0)</f>
        <v>0.12360996785945266</v>
      </c>
      <c r="J10" s="61">
        <f t="shared" ref="J10" si="8">IFERROR((J9/I9)-1,0)</f>
        <v>0.11864737206013842</v>
      </c>
      <c r="K10" s="61">
        <f t="shared" ref="K10" si="9">IFERROR((K9/J9)-1,0)</f>
        <v>4.1414313017333226E-2</v>
      </c>
      <c r="L10" s="61">
        <f t="shared" ref="L10" si="10">IFERROR((L9/K9)-1,0)</f>
        <v>-0.74351172164030233</v>
      </c>
      <c r="M10" s="61">
        <f t="shared" ref="M10" si="11">IFERROR((M9/L9)-1,0)</f>
        <v>-0.32216568163882275</v>
      </c>
    </row>
    <row r="11" spans="1:26" x14ac:dyDescent="0.3">
      <c r="A11" s="85" t="s">
        <v>614</v>
      </c>
      <c r="B11" s="21">
        <f>'Annual Income Statement US$'!B9</f>
        <v>0</v>
      </c>
      <c r="C11" s="21">
        <f>'Annual Income Statement US$'!C9</f>
        <v>0</v>
      </c>
      <c r="D11" s="21">
        <f>'Annual Income Statement US$'!D9</f>
        <v>0</v>
      </c>
      <c r="E11" s="21">
        <f>'Annual Income Statement US$'!E9</f>
        <v>0</v>
      </c>
      <c r="F11" s="21">
        <f>'Annual Income Statement US$'!F9</f>
        <v>0</v>
      </c>
      <c r="G11" s="21">
        <f>'Annual Income Statement US$'!G9</f>
        <v>0</v>
      </c>
      <c r="H11" s="21">
        <f>'Annual Income Statement US$'!H9</f>
        <v>0</v>
      </c>
      <c r="I11" s="21">
        <f>'Annual Income Statement US$'!I9</f>
        <v>0</v>
      </c>
      <c r="J11" s="21">
        <f>'Annual Income Statement US$'!J9</f>
        <v>0</v>
      </c>
      <c r="K11" s="21">
        <f>'Annual Income Statement US$'!K9</f>
        <v>0</v>
      </c>
      <c r="L11" s="21">
        <f>'Annual Income Statement US$'!L9</f>
        <v>0</v>
      </c>
      <c r="M11" s="21">
        <f>'Annual Income Statement US$'!M9</f>
        <v>0</v>
      </c>
    </row>
    <row r="12" spans="1:26" x14ac:dyDescent="0.3">
      <c r="A12" s="85" t="s">
        <v>0</v>
      </c>
      <c r="B12" s="61">
        <f t="shared" ref="B12" si="12">IFERROR((B11/A11)-1,0)</f>
        <v>0</v>
      </c>
      <c r="C12" s="61">
        <f t="shared" ref="C12" si="13">IFERROR((C11/B11)-1,0)</f>
        <v>0</v>
      </c>
      <c r="D12" s="61">
        <f t="shared" ref="D12" si="14">IFERROR((D11/C11)-1,0)</f>
        <v>0</v>
      </c>
      <c r="E12" s="61">
        <f t="shared" ref="E12" si="15">IFERROR((E11/D11)-1,0)</f>
        <v>0</v>
      </c>
      <c r="F12" s="61">
        <f t="shared" ref="F12" si="16">IFERROR((F11/E11)-1,0)</f>
        <v>0</v>
      </c>
      <c r="G12" s="61">
        <f t="shared" ref="G12" si="17">IFERROR((G11/F11)-1,0)</f>
        <v>0</v>
      </c>
      <c r="H12" s="61">
        <f t="shared" ref="H12" si="18">IFERROR((H11/G11)-1,0)</f>
        <v>0</v>
      </c>
      <c r="I12" s="61">
        <f t="shared" ref="I12" si="19">IFERROR((I11/H11)-1,0)</f>
        <v>0</v>
      </c>
      <c r="J12" s="61">
        <f t="shared" ref="J12" si="20">IFERROR((J11/I11)-1,0)</f>
        <v>0</v>
      </c>
      <c r="K12" s="61">
        <f t="shared" ref="K12" si="21">IFERROR((K11/J11)-1,0)</f>
        <v>0</v>
      </c>
      <c r="L12" s="61">
        <f t="shared" ref="L12" si="22">IFERROR((L11/K11)-1,0)</f>
        <v>0</v>
      </c>
      <c r="M12" s="61">
        <f t="shared" ref="M12" si="23">IFERROR((M11/L11)-1,0)</f>
        <v>0</v>
      </c>
    </row>
    <row r="13" spans="1:26" x14ac:dyDescent="0.3">
      <c r="A13" s="85" t="s">
        <v>12</v>
      </c>
      <c r="B13" s="21">
        <f>'Annual Income Statement US$'!B10</f>
        <v>452.34374241644747</v>
      </c>
      <c r="C13" s="21">
        <f>'Annual Income Statement US$'!C10</f>
        <v>486.43346176794796</v>
      </c>
      <c r="D13" s="21">
        <f>'Annual Income Statement US$'!D10</f>
        <v>488.17574326757637</v>
      </c>
      <c r="E13" s="21">
        <f>'Annual Income Statement US$'!E10</f>
        <v>460.28355020392308</v>
      </c>
      <c r="F13" s="21">
        <f>'Annual Income Statement US$'!F10</f>
        <v>482.36763716729126</v>
      </c>
      <c r="G13" s="21">
        <f>'Annual Income Statement US$'!G10</f>
        <v>396.04580355815062</v>
      </c>
      <c r="H13" s="21">
        <f>'Annual Income Statement US$'!H10</f>
        <v>386.34511484712203</v>
      </c>
      <c r="I13" s="21">
        <f>'Annual Income Statement US$'!I10</f>
        <v>500.72071191226462</v>
      </c>
      <c r="J13" s="21">
        <f>'Annual Income Statement US$'!J10</f>
        <v>619.61406088113279</v>
      </c>
      <c r="K13" s="21">
        <f>'Annual Income Statement US$'!K10</f>
        <v>540.35722360388877</v>
      </c>
      <c r="L13" s="21">
        <f>'Annual Income Statement US$'!L10</f>
        <v>699.32727756451675</v>
      </c>
      <c r="M13" s="21">
        <f>'Annual Income Statement US$'!M10</f>
        <v>994.14754350839371</v>
      </c>
    </row>
    <row r="14" spans="1:26" x14ac:dyDescent="0.3">
      <c r="A14" s="85" t="s">
        <v>0</v>
      </c>
      <c r="B14" s="61">
        <f t="shared" ref="B14" si="24">IFERROR((B13/A13)-1,0)</f>
        <v>0</v>
      </c>
      <c r="C14" s="61">
        <f t="shared" ref="C14" si="25">IFERROR((C13/B13)-1,0)</f>
        <v>7.5362420555198151E-2</v>
      </c>
      <c r="D14" s="61">
        <f t="shared" ref="D14" si="26">IFERROR((D13/C13)-1,0)</f>
        <v>3.5817468093088944E-3</v>
      </c>
      <c r="E14" s="61">
        <f t="shared" ref="E14" si="27">IFERROR((E13/D13)-1,0)</f>
        <v>-5.7135557119160629E-2</v>
      </c>
      <c r="F14" s="61">
        <f t="shared" ref="F14" si="28">IFERROR((F13/E13)-1,0)</f>
        <v>4.7979309609444298E-2</v>
      </c>
      <c r="G14" s="61">
        <f t="shared" ref="G14" si="29">IFERROR((G13/F13)-1,0)</f>
        <v>-0.17895444668731608</v>
      </c>
      <c r="H14" s="61">
        <f t="shared" ref="H14" si="30">IFERROR((H13/G13)-1,0)</f>
        <v>-2.4493855568915923E-2</v>
      </c>
      <c r="I14" s="61">
        <f t="shared" ref="I14" si="31">IFERROR((I13/H13)-1,0)</f>
        <v>0.2960451489347844</v>
      </c>
      <c r="J14" s="61">
        <f t="shared" ref="J14" si="32">IFERROR((J13/I13)-1,0)</f>
        <v>0.23744443986511277</v>
      </c>
      <c r="K14" s="61">
        <f t="shared" ref="K14" si="33">IFERROR((K13/J13)-1,0)</f>
        <v>-0.12791323225385731</v>
      </c>
      <c r="L14" s="61">
        <f t="shared" ref="L14" si="34">IFERROR((L13/K13)-1,0)</f>
        <v>0.29419437182755548</v>
      </c>
      <c r="M14" s="61">
        <f t="shared" ref="M14" si="35">IFERROR((M13/L13)-1,0)</f>
        <v>0.42157695745920365</v>
      </c>
    </row>
    <row r="15" spans="1:26" x14ac:dyDescent="0.3">
      <c r="A15" s="85" t="s">
        <v>13</v>
      </c>
      <c r="B15" s="21">
        <f>'Annual Income Statement US$'!B11</f>
        <v>866.83039051048843</v>
      </c>
      <c r="C15" s="21">
        <f>'Annual Income Statement US$'!C11</f>
        <v>933.42637258173806</v>
      </c>
      <c r="D15" s="21">
        <f>'Annual Income Statement US$'!D11</f>
        <v>895.32231603377215</v>
      </c>
      <c r="E15" s="21">
        <f>'Annual Income Statement US$'!E11</f>
        <v>861.33229753350156</v>
      </c>
      <c r="F15" s="21">
        <f>'Annual Income Statement US$'!F11</f>
        <v>928.22138944940912</v>
      </c>
      <c r="G15" s="21">
        <f>'Annual Income Statement US$'!G11</f>
        <v>737.30266196003538</v>
      </c>
      <c r="H15" s="21">
        <f>'Annual Income Statement US$'!H11</f>
        <v>767.40816757719358</v>
      </c>
      <c r="I15" s="21">
        <f>'Annual Income Statement US$'!I11</f>
        <v>871.25403872734046</v>
      </c>
      <c r="J15" s="21">
        <f>'Annual Income Statement US$'!J11</f>
        <v>801.71732161332125</v>
      </c>
      <c r="K15" s="21">
        <f>'Annual Income Statement US$'!K11</f>
        <v>890.79810083653626</v>
      </c>
      <c r="L15" s="21">
        <f>'Annual Income Statement US$'!L11</f>
        <v>403.63346128995477</v>
      </c>
      <c r="M15" s="21">
        <f>'Annual Income Statement US$'!M11</f>
        <v>210.22639765901741</v>
      </c>
    </row>
    <row r="16" spans="1:26" x14ac:dyDescent="0.3">
      <c r="A16" s="85" t="s">
        <v>0</v>
      </c>
      <c r="B16" s="61">
        <f t="shared" ref="B16" si="36">IFERROR((B15/A15)-1,0)</f>
        <v>0</v>
      </c>
      <c r="C16" s="61">
        <f t="shared" ref="C16" si="37">IFERROR((C15/B15)-1,0)</f>
        <v>7.6827004221702966E-2</v>
      </c>
      <c r="D16" s="61">
        <f t="shared" ref="D16" si="38">IFERROR((D15/C15)-1,0)</f>
        <v>-4.0821705564816013E-2</v>
      </c>
      <c r="E16" s="61">
        <f t="shared" ref="E16" si="39">IFERROR((E15/D15)-1,0)</f>
        <v>-3.7964002339229586E-2</v>
      </c>
      <c r="F16" s="61">
        <f t="shared" ref="F16" si="40">IFERROR((F15/E15)-1,0)</f>
        <v>7.7657707841038981E-2</v>
      </c>
      <c r="G16" s="61">
        <f t="shared" ref="G16" si="41">IFERROR((G15/F15)-1,0)</f>
        <v>-0.20568231852814822</v>
      </c>
      <c r="H16" s="61">
        <f t="shared" ref="H16" si="42">IFERROR((H15/G15)-1,0)</f>
        <v>4.0831950256528415E-2</v>
      </c>
      <c r="I16" s="61">
        <f t="shared" ref="I16" si="43">IFERROR((I15/H15)-1,0)</f>
        <v>0.13532025789874202</v>
      </c>
      <c r="J16" s="61">
        <f t="shared" ref="J16" si="44">IFERROR((J15/I15)-1,0)</f>
        <v>-7.981221781834491E-2</v>
      </c>
      <c r="K16" s="61">
        <f t="shared" ref="K16" si="45">IFERROR((K15/J15)-1,0)</f>
        <v>0.11111245425501703</v>
      </c>
      <c r="L16" s="61">
        <f t="shared" ref="L16" si="46">IFERROR((L15/K15)-1,0)</f>
        <v>-0.54688558393769804</v>
      </c>
      <c r="M16" s="61">
        <f t="shared" ref="M16" si="47">IFERROR((M15/L15)-1,0)</f>
        <v>-0.4791650895662517</v>
      </c>
    </row>
    <row r="17" spans="1:13" x14ac:dyDescent="0.3">
      <c r="A17" s="85" t="s">
        <v>5</v>
      </c>
      <c r="B17" s="21">
        <f>'Annual Income Statement US$'!B12</f>
        <v>1319.174132926936</v>
      </c>
      <c r="C17" s="21">
        <f>'Annual Income Statement US$'!C12</f>
        <v>1419.859834349686</v>
      </c>
      <c r="D17" s="21">
        <f>'Annual Income Statement US$'!D12</f>
        <v>1383.4980593013486</v>
      </c>
      <c r="E17" s="21">
        <f>'Annual Income Statement US$'!E12</f>
        <v>1321.6158477374247</v>
      </c>
      <c r="F17" s="21">
        <f>'Annual Income Statement US$'!F12</f>
        <v>1410.5890266167003</v>
      </c>
      <c r="G17" s="21">
        <f>'Annual Income Statement US$'!G12</f>
        <v>1133.348465518186</v>
      </c>
      <c r="H17" s="21">
        <f>'Annual Income Statement US$'!H12</f>
        <v>1153.7532824243156</v>
      </c>
      <c r="I17" s="21">
        <f>'Annual Income Statement US$'!I12</f>
        <v>1371.9747506396052</v>
      </c>
      <c r="J17" s="21">
        <f>'Annual Income Statement US$'!J12</f>
        <v>1421.3313824944539</v>
      </c>
      <c r="K17" s="21">
        <f>'Annual Income Statement US$'!K12</f>
        <v>1431.1553244404249</v>
      </c>
      <c r="L17" s="21">
        <f>'Annual Income Statement US$'!L12</f>
        <v>1102.9607388544714</v>
      </c>
      <c r="M17" s="21">
        <f>'Annual Income Statement US$'!M12</f>
        <v>1204.3739411674112</v>
      </c>
    </row>
    <row r="18" spans="1:13" x14ac:dyDescent="0.3">
      <c r="A18" s="85" t="s">
        <v>0</v>
      </c>
      <c r="B18" s="61">
        <f t="shared" ref="B18" si="48">IFERROR((B17/A17)-1,0)</f>
        <v>0</v>
      </c>
      <c r="C18" s="61">
        <f t="shared" ref="C18" si="49">IFERROR((C17/B17)-1,0)</f>
        <v>7.6324799667919718E-2</v>
      </c>
      <c r="D18" s="61">
        <f t="shared" ref="D18" si="50">IFERROR((D17/C17)-1,0)</f>
        <v>-2.5609411695902806E-2</v>
      </c>
      <c r="E18" s="61">
        <f t="shared" ref="E18" si="51">IFERROR((E17/D17)-1,0)</f>
        <v>-4.472880257972589E-2</v>
      </c>
      <c r="F18" s="61">
        <f t="shared" ref="F18" si="52">IFERROR((F17/E17)-1,0)</f>
        <v>6.732151330630276E-2</v>
      </c>
      <c r="G18" s="61">
        <f t="shared" ref="G18" si="53">IFERROR((G17/F17)-1,0)</f>
        <v>-0.19654240595042494</v>
      </c>
      <c r="H18" s="61">
        <f t="shared" ref="H18" si="54">IFERROR((H17/G17)-1,0)</f>
        <v>1.8004009823051392E-2</v>
      </c>
      <c r="I18" s="61">
        <f t="shared" ref="I18" si="55">IFERROR((I17/H17)-1,0)</f>
        <v>0.18914049610047767</v>
      </c>
      <c r="J18" s="61">
        <f t="shared" ref="J18" si="56">IFERROR((J17/I17)-1,0)</f>
        <v>3.5974883525982548E-2</v>
      </c>
      <c r="K18" s="61">
        <f t="shared" ref="K18" si="57">IFERROR((K17/J17)-1,0)</f>
        <v>6.9117885293785708E-3</v>
      </c>
      <c r="L18" s="61">
        <f t="shared" ref="L18" si="58">IFERROR((L17/K17)-1,0)</f>
        <v>-0.22932143002317107</v>
      </c>
      <c r="M18" s="61">
        <f t="shared" ref="M18" si="59">IFERROR((M17/L17)-1,0)</f>
        <v>9.1946339285174261E-2</v>
      </c>
    </row>
    <row r="19" spans="1:13" x14ac:dyDescent="0.3">
      <c r="A19" s="14" t="s">
        <v>14</v>
      </c>
      <c r="B19" s="6">
        <f>'Annual Income Statement US$'!B13</f>
        <v>10469.913316960949</v>
      </c>
      <c r="C19" s="6">
        <f>'Annual Income Statement US$'!C13</f>
        <v>11743.171222555951</v>
      </c>
      <c r="D19" s="6">
        <f>'Annual Income Statement US$'!D13</f>
        <v>12124.364771317676</v>
      </c>
      <c r="E19" s="6">
        <f>'Annual Income Statement US$'!E13</f>
        <v>12023.693921149737</v>
      </c>
      <c r="F19" s="6">
        <f>'Annual Income Statement US$'!F13</f>
        <v>12752.954742000577</v>
      </c>
      <c r="G19" s="6">
        <f>'Annual Income Statement US$'!G13</f>
        <v>10854.472734672792</v>
      </c>
      <c r="H19" s="6">
        <f>'Annual Income Statement US$'!H13</f>
        <v>11074.97509885002</v>
      </c>
      <c r="I19" s="6">
        <f>'Annual Income Statement US$'!I13</f>
        <v>12519.558476920192</v>
      </c>
      <c r="J19" s="6">
        <f>'Annual Income Statement US$'!J13</f>
        <v>13891.546622718599</v>
      </c>
      <c r="K19" s="6">
        <f>'Annual Income Statement US$'!K13</f>
        <v>14417.815962016732</v>
      </c>
      <c r="L19" s="6">
        <f>'Annual Income Statement US$'!L13</f>
        <v>4433.8869674280722</v>
      </c>
      <c r="M19" s="6">
        <f>'Annual Income Statement US$'!M13</f>
        <v>3462.1900508239642</v>
      </c>
    </row>
    <row r="20" spans="1:13" x14ac:dyDescent="0.3">
      <c r="A20" s="85" t="s">
        <v>0</v>
      </c>
      <c r="B20" s="61">
        <f t="shared" ref="B20" si="60">IFERROR((B19/A19)-1,0)</f>
        <v>0</v>
      </c>
      <c r="C20" s="61">
        <f t="shared" ref="C20" si="61">IFERROR((C19/B19)-1,0)</f>
        <v>0.12161112198821766</v>
      </c>
      <c r="D20" s="61">
        <f t="shared" ref="D20" si="62">IFERROR((D19/C19)-1,0)</f>
        <v>3.2460869516194979E-2</v>
      </c>
      <c r="E20" s="61">
        <f t="shared" ref="E20" si="63">IFERROR((E19/D19)-1,0)</f>
        <v>-8.3031855331582305E-3</v>
      </c>
      <c r="F20" s="61">
        <f t="shared" ref="F20" si="64">IFERROR((F19/E19)-1,0)</f>
        <v>6.0651978138603901E-2</v>
      </c>
      <c r="G20" s="61">
        <f t="shared" ref="G20" si="65">IFERROR((G19/F19)-1,0)</f>
        <v>-0.14886605071021886</v>
      </c>
      <c r="H20" s="61">
        <f t="shared" ref="H20" si="66">IFERROR((H19/G19)-1,0)</f>
        <v>2.0314424253226937E-2</v>
      </c>
      <c r="I20" s="61">
        <f t="shared" ref="I20" si="67">IFERROR((I19/H19)-1,0)</f>
        <v>0.13043671567443726</v>
      </c>
      <c r="J20" s="61">
        <f t="shared" ref="J20" si="68">IFERROR((J19/I19)-1,0)</f>
        <v>0.10958758236783406</v>
      </c>
      <c r="K20" s="61">
        <f t="shared" ref="K20" si="69">IFERROR((K19/J19)-1,0)</f>
        <v>3.7884143039728757E-2</v>
      </c>
      <c r="L20" s="61">
        <f t="shared" ref="L20" si="70">IFERROR((L19/K19)-1,0)</f>
        <v>-0.69247166289894369</v>
      </c>
      <c r="M20" s="61">
        <f t="shared" ref="M20" si="71">IFERROR((M19/L19)-1,0)</f>
        <v>-0.21915238790305747</v>
      </c>
    </row>
    <row r="21" spans="1:13" x14ac:dyDescent="0.3">
      <c r="A21" s="8" t="s">
        <v>259</v>
      </c>
      <c r="B21" s="10"/>
      <c r="C21" s="10"/>
      <c r="D21" s="10"/>
      <c r="E21" s="10"/>
      <c r="F21" s="10"/>
      <c r="G21" s="10"/>
      <c r="H21" s="10"/>
      <c r="I21" s="10"/>
      <c r="J21" s="10"/>
      <c r="K21" s="10"/>
      <c r="L21" s="10"/>
      <c r="M21" s="10"/>
    </row>
    <row r="22" spans="1:13" x14ac:dyDescent="0.3">
      <c r="A22" s="85" t="s">
        <v>615</v>
      </c>
      <c r="B22" s="2">
        <f>IFERROR(B9/B$19, "N/A")</f>
        <v>0.87400333765992955</v>
      </c>
      <c r="C22" s="2">
        <f t="shared" ref="C22:H22" si="72">IFERROR(C9/C$19, "N/A")</f>
        <v>0.87909059593523931</v>
      </c>
      <c r="D22" s="2">
        <f t="shared" si="72"/>
        <v>0.88589108910891079</v>
      </c>
      <c r="E22" s="2">
        <f t="shared" si="72"/>
        <v>0.89008237764496845</v>
      </c>
      <c r="F22" s="2">
        <f t="shared" si="72"/>
        <v>0.88939119951778178</v>
      </c>
      <c r="G22" s="2">
        <f t="shared" si="72"/>
        <v>0.89558696279203931</v>
      </c>
      <c r="H22" s="2">
        <f t="shared" si="72"/>
        <v>0.89582339715200654</v>
      </c>
      <c r="I22" s="2">
        <f t="shared" ref="I22" si="73">IFERROR(I9/I$19, "N/A")</f>
        <v>0.89041348757076055</v>
      </c>
      <c r="J22" s="2">
        <f t="shared" ref="J22:M22" si="74">IFERROR(J9/J$19, "N/A")</f>
        <v>0.89768371938010327</v>
      </c>
      <c r="K22" s="2">
        <f t="shared" si="74"/>
        <v>0.90073702367884578</v>
      </c>
      <c r="L22" s="2">
        <f t="shared" si="74"/>
        <v>0.75124292816732374</v>
      </c>
      <c r="M22" s="2">
        <f t="shared" si="74"/>
        <v>0.65213523131672602</v>
      </c>
    </row>
    <row r="23" spans="1:13" x14ac:dyDescent="0.3">
      <c r="A23" s="85" t="s">
        <v>614</v>
      </c>
      <c r="B23" s="2">
        <f>IFERROR(B11/B$19, "N/A")</f>
        <v>0</v>
      </c>
      <c r="C23" s="2">
        <f t="shared" ref="C23:H23" si="75">IFERROR(C11/C$19, "N/A")</f>
        <v>0</v>
      </c>
      <c r="D23" s="2">
        <f t="shared" si="75"/>
        <v>0</v>
      </c>
      <c r="E23" s="2">
        <f t="shared" si="75"/>
        <v>0</v>
      </c>
      <c r="F23" s="2">
        <f t="shared" si="75"/>
        <v>0</v>
      </c>
      <c r="G23" s="2">
        <f t="shared" si="75"/>
        <v>0</v>
      </c>
      <c r="H23" s="2">
        <f t="shared" si="75"/>
        <v>0</v>
      </c>
      <c r="I23" s="2">
        <f t="shared" ref="I23" si="76">IFERROR(I11/I$19, "N/A")</f>
        <v>0</v>
      </c>
      <c r="J23" s="2">
        <f t="shared" ref="J23:M23" si="77">IFERROR(J11/J$19, "N/A")</f>
        <v>0</v>
      </c>
      <c r="K23" s="2">
        <f t="shared" si="77"/>
        <v>0</v>
      </c>
      <c r="L23" s="2">
        <f t="shared" si="77"/>
        <v>0</v>
      </c>
      <c r="M23" s="2">
        <f t="shared" si="77"/>
        <v>0</v>
      </c>
    </row>
    <row r="24" spans="1:13" x14ac:dyDescent="0.3">
      <c r="A24" s="85" t="s">
        <v>265</v>
      </c>
      <c r="B24" s="2">
        <f>IFERROR(B13/B$19, "N/A")</f>
        <v>4.3204153532356765E-2</v>
      </c>
      <c r="C24" s="2">
        <f t="shared" ref="C24:H24" si="78">IFERROR(C13/C$19, "N/A")</f>
        <v>4.1422666207371679E-2</v>
      </c>
      <c r="D24" s="2">
        <f t="shared" si="78"/>
        <v>4.0264026402640263E-2</v>
      </c>
      <c r="E24" s="2">
        <f t="shared" si="78"/>
        <v>3.8281376191245359E-2</v>
      </c>
      <c r="F24" s="2">
        <f t="shared" si="78"/>
        <v>3.7823990355635925E-2</v>
      </c>
      <c r="G24" s="2">
        <f t="shared" si="78"/>
        <v>3.6486876261897894E-2</v>
      </c>
      <c r="H24" s="2">
        <f t="shared" si="78"/>
        <v>3.4884513183893164E-2</v>
      </c>
      <c r="I24" s="2">
        <f t="shared" ref="I24" si="79">IFERROR(I13/I$19, "N/A")</f>
        <v>3.9995077528919516E-2</v>
      </c>
      <c r="J24" s="2">
        <f t="shared" ref="J24:M24" si="80">IFERROR(J13/J$19, "N/A")</f>
        <v>4.4603677164916949E-2</v>
      </c>
      <c r="K24" s="2">
        <f t="shared" si="80"/>
        <v>3.7478438137055037E-2</v>
      </c>
      <c r="L24" s="2">
        <f t="shared" si="80"/>
        <v>0.15772329847419853</v>
      </c>
      <c r="M24" s="2">
        <f t="shared" si="80"/>
        <v>0.28714412811387902</v>
      </c>
    </row>
    <row r="25" spans="1:13" x14ac:dyDescent="0.3">
      <c r="A25" s="85" t="s">
        <v>264</v>
      </c>
      <c r="B25" s="2">
        <f>IFERROR(B15/B$19, "N/A")</f>
        <v>8.2792508807713716E-2</v>
      </c>
      <c r="C25" s="2">
        <f t="shared" ref="C25:H25" si="81">IFERROR(C15/C$19, "N/A")</f>
        <v>7.9486737857388898E-2</v>
      </c>
      <c r="D25" s="2">
        <f t="shared" si="81"/>
        <v>7.3844884488448836E-2</v>
      </c>
      <c r="E25" s="2">
        <f t="shared" si="81"/>
        <v>7.1636246163786138E-2</v>
      </c>
      <c r="F25" s="2">
        <f t="shared" si="81"/>
        <v>7.2784810126582278E-2</v>
      </c>
      <c r="G25" s="2">
        <f t="shared" si="81"/>
        <v>6.792616094606288E-2</v>
      </c>
      <c r="H25" s="2">
        <f t="shared" si="81"/>
        <v>6.929208966410029E-2</v>
      </c>
      <c r="I25" s="2">
        <f t="shared" ref="I25" si="82">IFERROR(I15/I$19, "N/A")</f>
        <v>6.9591434900319965E-2</v>
      </c>
      <c r="J25" s="2">
        <f t="shared" ref="J25:M25" si="83">IFERROR(J15/J$19, "N/A")</f>
        <v>5.7712603454979715E-2</v>
      </c>
      <c r="K25" s="2">
        <f t="shared" si="83"/>
        <v>6.1784538184099104E-2</v>
      </c>
      <c r="L25" s="2">
        <f t="shared" si="83"/>
        <v>9.1033773358477621E-2</v>
      </c>
      <c r="M25" s="2">
        <f t="shared" si="83"/>
        <v>6.0720640569395024E-2</v>
      </c>
    </row>
    <row r="26" spans="1:13" x14ac:dyDescent="0.3">
      <c r="A26" s="85" t="s">
        <v>263</v>
      </c>
      <c r="B26" s="2">
        <f>IFERROR(B17/B$19, "N/A")</f>
        <v>0.12599666234007048</v>
      </c>
      <c r="C26" s="2">
        <f t="shared" ref="C26:H26" si="84">IFERROR(C17/C$19, "N/A")</f>
        <v>0.12090940406476058</v>
      </c>
      <c r="D26" s="2">
        <f t="shared" si="84"/>
        <v>0.1141089108910891</v>
      </c>
      <c r="E26" s="2">
        <f t="shared" si="84"/>
        <v>0.1099176223550315</v>
      </c>
      <c r="F26" s="2">
        <f t="shared" si="84"/>
        <v>0.1106088004822182</v>
      </c>
      <c r="G26" s="2">
        <f t="shared" si="84"/>
        <v>0.10441303720796077</v>
      </c>
      <c r="H26" s="2">
        <f t="shared" si="84"/>
        <v>0.10417660284799345</v>
      </c>
      <c r="I26" s="2">
        <f t="shared" ref="I26" si="85">IFERROR(I17/I$19, "N/A")</f>
        <v>0.10958651242923949</v>
      </c>
      <c r="J26" s="2">
        <f t="shared" ref="J26:M26" si="86">IFERROR(J17/J$19, "N/A")</f>
        <v>0.10231628061989666</v>
      </c>
      <c r="K26" s="2">
        <f t="shared" si="86"/>
        <v>9.9262976321154134E-2</v>
      </c>
      <c r="L26" s="2">
        <f t="shared" si="86"/>
        <v>0.24875707183267612</v>
      </c>
      <c r="M26" s="2">
        <f t="shared" si="86"/>
        <v>0.34786476868327409</v>
      </c>
    </row>
    <row r="27" spans="1:13" x14ac:dyDescent="0.3">
      <c r="A27" s="14" t="s">
        <v>262</v>
      </c>
      <c r="B27" s="238">
        <f>SUM(B22:B25)</f>
        <v>1</v>
      </c>
      <c r="C27" s="238">
        <f t="shared" ref="C27:H27" si="87">SUM(C22:C25)</f>
        <v>0.99999999999999989</v>
      </c>
      <c r="D27" s="238">
        <f t="shared" si="87"/>
        <v>0.99999999999999989</v>
      </c>
      <c r="E27" s="238">
        <f t="shared" si="87"/>
        <v>1</v>
      </c>
      <c r="F27" s="238">
        <f t="shared" si="87"/>
        <v>1</v>
      </c>
      <c r="G27" s="238">
        <f t="shared" si="87"/>
        <v>1</v>
      </c>
      <c r="H27" s="238">
        <f t="shared" si="87"/>
        <v>1</v>
      </c>
      <c r="I27" s="238">
        <f t="shared" ref="I27" si="88">SUM(I22:I25)</f>
        <v>1</v>
      </c>
      <c r="J27" s="238">
        <f t="shared" ref="J27:M27" si="89">SUM(J22:J25)</f>
        <v>1</v>
      </c>
      <c r="K27" s="238">
        <f t="shared" si="89"/>
        <v>1</v>
      </c>
      <c r="L27" s="238">
        <f t="shared" si="89"/>
        <v>0.99999999999999989</v>
      </c>
      <c r="M27" s="238">
        <f t="shared" si="89"/>
        <v>1</v>
      </c>
    </row>
    <row r="28" spans="1:13" x14ac:dyDescent="0.3">
      <c r="A28" s="8" t="str">
        <f>IF(Inputs!$E$10 = "miles", "Per RPM:", "Per RPK:")</f>
        <v>Per RPM:</v>
      </c>
      <c r="B28" s="10"/>
      <c r="C28" s="10"/>
      <c r="D28" s="10"/>
      <c r="E28" s="10"/>
      <c r="F28" s="10"/>
      <c r="G28" s="10"/>
      <c r="H28" s="10"/>
      <c r="I28" s="10"/>
      <c r="J28" s="10"/>
      <c r="K28" s="10"/>
      <c r="L28" s="10"/>
      <c r="M28" s="10"/>
    </row>
    <row r="29" spans="1:13" x14ac:dyDescent="0.3">
      <c r="A29" s="85" t="str">
        <f>("Passenger Revenue -: [cents/" &amp;'Annual Operational Data'!$A$31 &amp; "]")</f>
        <v>Passenger Revenue -: [cents/RPMs]</v>
      </c>
      <c r="B29" s="5">
        <f>IFERROR(B$9*100/'Annual Operational Data'!B$31, "N/A")</f>
        <v>17.639979149945084</v>
      </c>
      <c r="C29" s="5">
        <f>IFERROR(C$9*100/'Annual Operational Data'!C$31, "N/A")</f>
        <v>19.038620858687761</v>
      </c>
      <c r="D29" s="5">
        <f>IFERROR(D$9*100/'Annual Operational Data'!D$31, "N/A")</f>
        <v>19.302136203889454</v>
      </c>
      <c r="E29" s="5">
        <f>IFERROR(E$9*100/'Annual Operational Data'!E$31, "N/A")</f>
        <v>18.844672700625651</v>
      </c>
      <c r="F29" s="5">
        <f>IFERROR(F$9*100/'Annual Operational Data'!F$31, "N/A")</f>
        <v>18.408150018475517</v>
      </c>
      <c r="G29" s="5">
        <f>IFERROR(G$9*100/'Annual Operational Data'!G$31, "N/A")</f>
        <v>14.392070870019404</v>
      </c>
      <c r="H29" s="5">
        <f>IFERROR(H$9*100/'Annual Operational Data'!H$31, "N/A")</f>
        <v>12.972139245597866</v>
      </c>
      <c r="I29" s="5">
        <f>IFERROR(I$9*100/'Annual Operational Data'!I$31, "N/A")</f>
        <v>13.09370041965372</v>
      </c>
      <c r="J29" s="5">
        <f>IFERROR(J$9*100/'Annual Operational Data'!J$31, "N/A")</f>
        <v>13.501748852559706</v>
      </c>
      <c r="K29" s="5">
        <f>IFERROR(K$9*100/'Annual Operational Data'!K$31, "N/A")</f>
        <v>13.799008253457339</v>
      </c>
      <c r="L29" s="5">
        <f>IFERROR(L$9*100/'Annual Operational Data'!L$31, "N/A")</f>
        <v>14.333345791874008</v>
      </c>
      <c r="M29" s="5">
        <f>IFERROR(M$9*100/'Annual Operational Data'!M$31, "N/A")</f>
        <v>16.284284959657796</v>
      </c>
    </row>
    <row r="30" spans="1:13" x14ac:dyDescent="0.3">
      <c r="A30" s="85" t="s">
        <v>0</v>
      </c>
      <c r="B30" s="61">
        <f t="shared" ref="B30:H30" si="90">IFERROR((B29/A29)-1,0)</f>
        <v>0</v>
      </c>
      <c r="C30" s="61">
        <f t="shared" si="90"/>
        <v>7.9288172443618299E-2</v>
      </c>
      <c r="D30" s="61">
        <f t="shared" si="90"/>
        <v>1.3841094224083195E-2</v>
      </c>
      <c r="E30" s="61">
        <f t="shared" si="90"/>
        <v>-2.3700148959244327E-2</v>
      </c>
      <c r="F30" s="61">
        <f t="shared" si="90"/>
        <v>-2.3164248543071864E-2</v>
      </c>
      <c r="G30" s="61">
        <f t="shared" si="90"/>
        <v>-0.21816853645941259</v>
      </c>
      <c r="H30" s="61">
        <f t="shared" si="90"/>
        <v>-9.8660688739342195E-2</v>
      </c>
      <c r="I30" s="61">
        <f t="shared" ref="I30" si="91">IFERROR((I29/H29)-1,0)</f>
        <v>9.3709427376911236E-3</v>
      </c>
      <c r="J30" s="61">
        <f t="shared" ref="J30" si="92">IFERROR((J29/I29)-1,0)</f>
        <v>3.1163721471243022E-2</v>
      </c>
      <c r="K30" s="61">
        <f t="shared" ref="K30" si="93">IFERROR((K29/J29)-1,0)</f>
        <v>2.2016362779646803E-2</v>
      </c>
      <c r="L30" s="61">
        <f t="shared" ref="L30" si="94">IFERROR((L29/K29)-1,0)</f>
        <v>3.8722894327046342E-2</v>
      </c>
      <c r="M30" s="61">
        <f t="shared" ref="M30" si="95">IFERROR((M29/L29)-1,0)</f>
        <v>0.13611191665311195</v>
      </c>
    </row>
    <row r="31" spans="1:13" x14ac:dyDescent="0.3">
      <c r="A31" s="85" t="str">
        <f>("Ancillary Revenue -: [cents/" &amp;'Annual Operational Data'!$A$31 &amp; "]")</f>
        <v>Ancillary Revenue -: [cents/RPMs]</v>
      </c>
      <c r="B31" s="5">
        <f>IFERROR(B$11*100/'Annual Operational Data'!B$31, "N/A")</f>
        <v>0</v>
      </c>
      <c r="C31" s="5">
        <f>IFERROR(C$11*100/'Annual Operational Data'!C$31, "N/A")</f>
        <v>0</v>
      </c>
      <c r="D31" s="5">
        <f>IFERROR(D$11*100/'Annual Operational Data'!D$31, "N/A")</f>
        <v>0</v>
      </c>
      <c r="E31" s="5">
        <f>IFERROR(E$11*100/'Annual Operational Data'!E$31, "N/A")</f>
        <v>0</v>
      </c>
      <c r="F31" s="5">
        <f>IFERROR(F$11*100/'Annual Operational Data'!F$31, "N/A")</f>
        <v>0</v>
      </c>
      <c r="G31" s="5">
        <f>IFERROR(G$11*100/'Annual Operational Data'!G$31, "N/A")</f>
        <v>0</v>
      </c>
      <c r="H31" s="5">
        <f>IFERROR(H$11*100/'Annual Operational Data'!H$31, "N/A")</f>
        <v>0</v>
      </c>
      <c r="I31" s="5">
        <f>IFERROR(I$11*100/'Annual Operational Data'!I$31, "N/A")</f>
        <v>0</v>
      </c>
      <c r="J31" s="5">
        <f>IFERROR(J$11*100/'Annual Operational Data'!J$31, "N/A")</f>
        <v>0</v>
      </c>
      <c r="K31" s="5">
        <f>IFERROR(K$11*100/'Annual Operational Data'!K$31, "N/A")</f>
        <v>0</v>
      </c>
      <c r="L31" s="5">
        <f>IFERROR(L$11*100/'Annual Operational Data'!L$31, "N/A")</f>
        <v>0</v>
      </c>
      <c r="M31" s="5">
        <f>IFERROR(M$11*100/'Annual Operational Data'!M$31, "N/A")</f>
        <v>0</v>
      </c>
    </row>
    <row r="32" spans="1:13" x14ac:dyDescent="0.3">
      <c r="A32" s="85" t="s">
        <v>0</v>
      </c>
      <c r="B32" s="61">
        <f t="shared" ref="B32:H32" si="96">IFERROR((B31/A31)-1,0)</f>
        <v>0</v>
      </c>
      <c r="C32" s="61">
        <f t="shared" si="96"/>
        <v>0</v>
      </c>
      <c r="D32" s="61">
        <f t="shared" si="96"/>
        <v>0</v>
      </c>
      <c r="E32" s="61">
        <f t="shared" si="96"/>
        <v>0</v>
      </c>
      <c r="F32" s="61">
        <f t="shared" si="96"/>
        <v>0</v>
      </c>
      <c r="G32" s="61">
        <f t="shared" si="96"/>
        <v>0</v>
      </c>
      <c r="H32" s="61">
        <f t="shared" si="96"/>
        <v>0</v>
      </c>
      <c r="I32" s="61">
        <f t="shared" ref="I32" si="97">IFERROR((I31/H31)-1,0)</f>
        <v>0</v>
      </c>
      <c r="J32" s="61">
        <f t="shared" ref="J32" si="98">IFERROR((J31/I31)-1,0)</f>
        <v>0</v>
      </c>
      <c r="K32" s="61">
        <f t="shared" ref="K32" si="99">IFERROR((K31/J31)-1,0)</f>
        <v>0</v>
      </c>
      <c r="L32" s="61">
        <f t="shared" ref="L32" si="100">IFERROR((L31/K31)-1,0)</f>
        <v>0</v>
      </c>
      <c r="M32" s="61">
        <f t="shared" ref="M32" si="101">IFERROR((M31/L31)-1,0)</f>
        <v>0</v>
      </c>
    </row>
    <row r="33" spans="1:13" x14ac:dyDescent="0.3">
      <c r="A33" s="85" t="str">
        <f>("Cargo Revenue -: [cents/"&amp;'Annual Operational Data'!$A$31 &amp; "]")</f>
        <v>Cargo Revenue -: [cents/RPMs]</v>
      </c>
      <c r="B33" s="5">
        <f>IFERROR(B13*100/'Annual Operational Data'!B31,"")</f>
        <v>0.87198793718833256</v>
      </c>
      <c r="C33" s="5">
        <f>IFERROR(C13*100/'Annual Operational Data'!C31,"")</f>
        <v>0.89709802439545572</v>
      </c>
      <c r="D33" s="5">
        <f>IFERROR(D13*100/'Annual Operational Data'!D31,"")</f>
        <v>0.87728811283394381</v>
      </c>
      <c r="E33" s="5">
        <f>IFERROR(E13*100/'Annual Operational Data'!E31,"")</f>
        <v>0.81048678523696194</v>
      </c>
      <c r="F33" s="5">
        <f>IFERROR(F13*100/'Annual Operational Data'!F31,"")</f>
        <v>0.78286100552988058</v>
      </c>
      <c r="G33" s="5">
        <f>IFERROR(G13*100/'Annual Operational Data'!G31,"")</f>
        <v>0.58634362803782758</v>
      </c>
      <c r="H33" s="5">
        <f>IFERROR(H13*100/'Annual Operational Data'!H31,"")</f>
        <v>0.50515175644555121</v>
      </c>
      <c r="I33" s="5">
        <f>IFERROR(I13*100/'Annual Operational Data'!I31,"")</f>
        <v>0.58813525483898255</v>
      </c>
      <c r="J33" s="5">
        <f>IFERROR(J13*100/'Annual Operational Data'!J31,"")</f>
        <v>0.6708684071904859</v>
      </c>
      <c r="K33" s="5">
        <f>IFERROR(K13*100/'Annual Operational Data'!K31,"")</f>
        <v>0.57415789912540116</v>
      </c>
      <c r="L33" s="5">
        <f>IFERROR(L13*100/'Annual Operational Data'!L31,"")</f>
        <v>3.009283005140138</v>
      </c>
      <c r="M33" s="5">
        <f>IFERROR(M13*100/'Annual Operational Data'!M31,"")</f>
        <v>7.1701950487442749</v>
      </c>
    </row>
    <row r="34" spans="1:13" x14ac:dyDescent="0.3">
      <c r="A34" s="85" t="s">
        <v>0</v>
      </c>
      <c r="B34" s="61">
        <f t="shared" ref="B34:H34" si="102">IFERROR((B33/A33)-1,0)</f>
        <v>0</v>
      </c>
      <c r="C34" s="61">
        <f t="shared" si="102"/>
        <v>2.879636992237411E-2</v>
      </c>
      <c r="D34" s="61">
        <f t="shared" si="102"/>
        <v>-2.208221512343822E-2</v>
      </c>
      <c r="E34" s="61">
        <f t="shared" si="102"/>
        <v>-7.6145255611854257E-2</v>
      </c>
      <c r="F34" s="61">
        <f t="shared" si="102"/>
        <v>-3.4085416579623051E-2</v>
      </c>
      <c r="G34" s="61">
        <f t="shared" si="102"/>
        <v>-0.25102460858813624</v>
      </c>
      <c r="H34" s="61">
        <f t="shared" si="102"/>
        <v>-0.13847148277876109</v>
      </c>
      <c r="I34" s="61">
        <f t="shared" ref="I34" si="103">IFERROR((I33/H33)-1,0)</f>
        <v>0.16427439345620853</v>
      </c>
      <c r="J34" s="61">
        <f t="shared" ref="J34" si="104">IFERROR((J33/I33)-1,0)</f>
        <v>0.14067028233863277</v>
      </c>
      <c r="K34" s="61">
        <f t="shared" ref="K34" si="105">IFERROR((K33/J33)-1,0)</f>
        <v>-0.14415719540303951</v>
      </c>
      <c r="L34" s="61">
        <f t="shared" ref="L34" si="106">IFERROR((L33/K33)-1,0)</f>
        <v>4.2412115373211714</v>
      </c>
      <c r="M34" s="61">
        <f t="shared" ref="M34" si="107">IFERROR((M33/L33)-1,0)</f>
        <v>1.3826921683659887</v>
      </c>
    </row>
    <row r="35" spans="1:13" x14ac:dyDescent="0.3">
      <c r="A35" s="85" t="str">
        <f>("Other Revenue  -: [cents/"&amp;'Annual Operational Data'!$A$31&amp;"]")</f>
        <v>Other Revenue  -: [cents/RPMs]</v>
      </c>
      <c r="B35" s="5">
        <f>IFERROR(B15*100/'Annual Operational Data'!B31,"")</f>
        <v>1.6709983431527486</v>
      </c>
      <c r="C35" s="5">
        <f>IFERROR(C15*100/'Annual Operational Data'!C31,"")</f>
        <v>1.721458371137226</v>
      </c>
      <c r="D35" s="5">
        <f>IFERROR(D15*100/'Annual Operational Data'!D31,"")</f>
        <v>1.6089607807097945</v>
      </c>
      <c r="E35" s="5">
        <f>IFERROR(E15*100/'Annual Operational Data'!E31,"")</f>
        <v>1.5166704187873106</v>
      </c>
      <c r="F35" s="5">
        <f>IFERROR(F15*100/'Annual Operational Data'!F31,"")</f>
        <v>1.5064616162188542</v>
      </c>
      <c r="G35" s="5">
        <f>IFERROR(G15*100/'Annual Operational Data'!G31,"")</f>
        <v>1.091572524924177</v>
      </c>
      <c r="H35" s="5">
        <f>IFERROR(H15*100/'Annual Operational Data'!H31,"")</f>
        <v>1.0033971412209484</v>
      </c>
      <c r="I35" s="5">
        <f>IFERROR(I15*100/'Annual Operational Data'!I31,"")</f>
        <v>1.0233553434198299</v>
      </c>
      <c r="J35" s="5">
        <f>IFERROR(J15*100/'Annual Operational Data'!J31,"")</f>
        <v>0.86803521179441456</v>
      </c>
      <c r="K35" s="5">
        <f>IFERROR(K15*100/'Annual Operational Data'!K31,"")</f>
        <v>0.94651971654982447</v>
      </c>
      <c r="L35" s="5">
        <f>IFERROR(L15*100/'Annual Operational Data'!L31,"")</f>
        <v>1.7368796475319712</v>
      </c>
      <c r="M35" s="5">
        <f>IFERROR(M15*100/'Annual Operational Data'!M31,"")</f>
        <v>1.5162379924920117</v>
      </c>
    </row>
    <row r="36" spans="1:13" x14ac:dyDescent="0.3">
      <c r="A36" s="85" t="s">
        <v>0</v>
      </c>
      <c r="B36" s="61">
        <f t="shared" ref="B36:H36" si="108">IFERROR((B35/A35)-1,0)</f>
        <v>0</v>
      </c>
      <c r="C36" s="61">
        <f t="shared" si="108"/>
        <v>3.0197533223924156E-2</v>
      </c>
      <c r="D36" s="61">
        <f t="shared" si="108"/>
        <v>-6.535016606478472E-2</v>
      </c>
      <c r="E36" s="61">
        <f t="shared" si="108"/>
        <v>-5.7360230919842548E-2</v>
      </c>
      <c r="F36" s="61">
        <f t="shared" si="108"/>
        <v>-6.7310619644174174E-3</v>
      </c>
      <c r="G36" s="61">
        <f t="shared" si="108"/>
        <v>-0.27540634744881765</v>
      </c>
      <c r="H36" s="61">
        <f t="shared" si="108"/>
        <v>-8.0778309906026191E-2</v>
      </c>
      <c r="I36" s="61">
        <f t="shared" ref="I36" si="109">IFERROR((I35/H35)-1,0)</f>
        <v>1.9890630916683749E-2</v>
      </c>
      <c r="J36" s="61">
        <f t="shared" ref="J36" si="110">IFERROR((J35/I35)-1,0)</f>
        <v>-0.15177536583369899</v>
      </c>
      <c r="K36" s="61">
        <f t="shared" ref="K36" si="111">IFERROR((K35/J35)-1,0)</f>
        <v>9.0416268475060679E-2</v>
      </c>
      <c r="L36" s="61">
        <f t="shared" ref="L36" si="112">IFERROR((L35/K35)-1,0)</f>
        <v>0.83501686986838641</v>
      </c>
      <c r="M36" s="61">
        <f t="shared" ref="M36" si="113">IFERROR((M35/L35)-1,0)</f>
        <v>-0.12703335855969144</v>
      </c>
    </row>
    <row r="37" spans="1:13" x14ac:dyDescent="0.3">
      <c r="A37" s="85" t="str">
        <f>("Total Cargo &amp; Other Revenue -: [cents/" &amp;'Annual Operational Data'!$A$31 &amp; "]")</f>
        <v>Total Cargo &amp; Other Revenue -: [cents/RPMs]</v>
      </c>
      <c r="B37" s="5">
        <f>IFERROR(B17*100/'Annual Operational Data'!B31,"")</f>
        <v>2.542986280341081</v>
      </c>
      <c r="C37" s="5">
        <f>IFERROR(C17*100/'Annual Operational Data'!C31,"")</f>
        <v>2.6185563955326816</v>
      </c>
      <c r="D37" s="5">
        <f>IFERROR(D17*100/'Annual Operational Data'!D31,"")</f>
        <v>2.4862488935437383</v>
      </c>
      <c r="E37" s="5">
        <f>IFERROR(E17*100/'Annual Operational Data'!E31,"")</f>
        <v>2.3271572040242727</v>
      </c>
      <c r="F37" s="5">
        <f>IFERROR(F17*100/'Annual Operational Data'!F31,"")</f>
        <v>2.2893226217487346</v>
      </c>
      <c r="G37" s="5">
        <f>IFERROR(G17*100/'Annual Operational Data'!G31,"")</f>
        <v>1.6779161529620046</v>
      </c>
      <c r="H37" s="5">
        <f>IFERROR(H17*100/'Annual Operational Data'!H31,"")</f>
        <v>1.5085488976664996</v>
      </c>
      <c r="I37" s="5">
        <f>IFERROR(I17*100/'Annual Operational Data'!I31,"")</f>
        <v>1.6114905982588126</v>
      </c>
      <c r="J37" s="5">
        <f>IFERROR(J17*100/'Annual Operational Data'!J31,"")</f>
        <v>1.5389036189849001</v>
      </c>
      <c r="K37" s="5">
        <f>IFERROR(K17*100/'Annual Operational Data'!K31,"")</f>
        <v>1.5206776156752255</v>
      </c>
      <c r="L37" s="5">
        <f>IFERROR(L17*100/'Annual Operational Data'!L31,"")</f>
        <v>4.7461626526721092</v>
      </c>
      <c r="M37" s="5">
        <f>IFERROR(M17*100/'Annual Operational Data'!M31,"")</f>
        <v>8.6864330412362882</v>
      </c>
    </row>
    <row r="38" spans="1:13" x14ac:dyDescent="0.3">
      <c r="A38" s="85" t="s">
        <v>0</v>
      </c>
      <c r="B38" s="61">
        <f t="shared" ref="B38:H38" si="114">IFERROR((B37/A37)-1,0)</f>
        <v>0</v>
      </c>
      <c r="C38" s="61">
        <f t="shared" si="114"/>
        <v>2.971707546195046E-2</v>
      </c>
      <c r="D38" s="61">
        <f t="shared" si="114"/>
        <v>-5.0526886575619656E-2</v>
      </c>
      <c r="E38" s="61">
        <f t="shared" si="114"/>
        <v>-6.39886416571539E-2</v>
      </c>
      <c r="F38" s="61">
        <f t="shared" si="114"/>
        <v>-1.6257854093445934E-2</v>
      </c>
      <c r="G38" s="61">
        <f t="shared" si="114"/>
        <v>-0.26706872285204508</v>
      </c>
      <c r="H38" s="61">
        <f t="shared" si="114"/>
        <v>-0.10093904573033829</v>
      </c>
      <c r="I38" s="61">
        <f t="shared" ref="I38" si="115">IFERROR((I37/H37)-1,0)</f>
        <v>6.8238888876289261E-2</v>
      </c>
      <c r="J38" s="61">
        <f t="shared" ref="J38" si="116">IFERROR((J37/I37)-1,0)</f>
        <v>-4.5043377449636601E-2</v>
      </c>
      <c r="K38" s="61">
        <f t="shared" ref="K38" si="117">IFERROR((K37/J37)-1,0)</f>
        <v>-1.184349889416525E-2</v>
      </c>
      <c r="L38" s="61">
        <f t="shared" ref="L38" si="118">IFERROR((L37/K37)-1,0)</f>
        <v>2.1210840507865787</v>
      </c>
      <c r="M38" s="61">
        <f t="shared" ref="M38" si="119">IFERROR((M37/L37)-1,0)</f>
        <v>0.83020129669298015</v>
      </c>
    </row>
    <row r="39" spans="1:13" x14ac:dyDescent="0.3">
      <c r="A39" s="14" t="str">
        <f>("Total Revenue -: [cents/"&amp;'Annual Operational Data'!$A$31 &amp; "]")</f>
        <v>Total Revenue -: [cents/RPMs]</v>
      </c>
      <c r="B39" s="77">
        <f>IFERROR(B19*100/'Annual Operational Data'!B31,"")</f>
        <v>20.182965430286167</v>
      </c>
      <c r="C39" s="77">
        <f>IFERROR(C19*100/'Annual Operational Data'!C31,"")</f>
        <v>21.657177254220446</v>
      </c>
      <c r="D39" s="77">
        <f>IFERROR(D19*100/'Annual Operational Data'!D31,"")</f>
        <v>21.788385097433196</v>
      </c>
      <c r="E39" s="77">
        <f>IFERROR(E19*100/'Annual Operational Data'!E31,"")</f>
        <v>21.171829904649922</v>
      </c>
      <c r="F39" s="77">
        <f>IFERROR(F19*100/'Annual Operational Data'!F31,"")</f>
        <v>20.697472640224252</v>
      </c>
      <c r="G39" s="77">
        <f>IFERROR(G19*100/'Annual Operational Data'!G31,"")</f>
        <v>16.069987022981408</v>
      </c>
      <c r="H39" s="77">
        <f>IFERROR(H19*100/'Annual Operational Data'!H31,"")</f>
        <v>14.480688143264365</v>
      </c>
      <c r="I39" s="77">
        <f>IFERROR(I19*100/'Annual Operational Data'!I31,"")</f>
        <v>14.705191017912533</v>
      </c>
      <c r="J39" s="77">
        <f>IFERROR(J19*100/'Annual Operational Data'!J31,"")</f>
        <v>15.040652471544606</v>
      </c>
      <c r="K39" s="77">
        <f>IFERROR(K19*100/'Annual Operational Data'!K31,"")</f>
        <v>15.319685869132565</v>
      </c>
      <c r="L39" s="77">
        <f>IFERROR(L19*100/'Annual Operational Data'!L31,"")</f>
        <v>19.079508444546118</v>
      </c>
      <c r="M39" s="77">
        <f>IFERROR(M19*100/'Annual Operational Data'!M31,"")</f>
        <v>24.970718000894081</v>
      </c>
    </row>
    <row r="40" spans="1:13" x14ac:dyDescent="0.3">
      <c r="A40" s="85" t="s">
        <v>0</v>
      </c>
      <c r="B40" s="61">
        <f t="shared" ref="B40:H40" si="120">IFERROR((B39/A39)-1,0)</f>
        <v>0</v>
      </c>
      <c r="C40" s="61">
        <f t="shared" si="120"/>
        <v>7.3042379675392288E-2</v>
      </c>
      <c r="D40" s="61">
        <f t="shared" si="120"/>
        <v>6.05840002473923E-3</v>
      </c>
      <c r="E40" s="61">
        <f t="shared" si="120"/>
        <v>-2.8297424982446584E-2</v>
      </c>
      <c r="F40" s="61">
        <f t="shared" si="120"/>
        <v>-2.240511408612289E-2</v>
      </c>
      <c r="G40" s="61">
        <f t="shared" si="120"/>
        <v>-0.22357732741965863</v>
      </c>
      <c r="H40" s="61">
        <f t="shared" si="120"/>
        <v>-9.8898578912616109E-2</v>
      </c>
      <c r="I40" s="61">
        <f t="shared" ref="I40" si="121">IFERROR((I39/H39)-1,0)</f>
        <v>1.5503605383049068E-2</v>
      </c>
      <c r="J40" s="61">
        <f t="shared" ref="J40" si="122">IFERROR((J39/I39)-1,0)</f>
        <v>2.2812451278153789E-2</v>
      </c>
      <c r="K40" s="61">
        <f t="shared" ref="K40" si="123">IFERROR((K39/J39)-1,0)</f>
        <v>1.8551947670878199E-2</v>
      </c>
      <c r="L40" s="61">
        <f t="shared" ref="L40" si="124">IFERROR((L39/K39)-1,0)</f>
        <v>0.2454242604927801</v>
      </c>
      <c r="M40" s="61">
        <f t="shared" ref="M40" si="125">IFERROR((M39/L39)-1,0)</f>
        <v>0.30877155842198678</v>
      </c>
    </row>
    <row r="41" spans="1:13" x14ac:dyDescent="0.3">
      <c r="A41" s="8" t="str">
        <f>IF(Inputs!$E$10 = "miles", "Per ASM:", "Per ASK:")</f>
        <v>Per ASM:</v>
      </c>
      <c r="B41" s="10"/>
      <c r="C41" s="10"/>
      <c r="D41" s="10"/>
      <c r="E41" s="10"/>
      <c r="F41" s="10"/>
      <c r="G41" s="10"/>
      <c r="H41" s="10"/>
      <c r="I41" s="10"/>
      <c r="J41" s="10"/>
      <c r="K41" s="10"/>
      <c r="L41" s="10"/>
      <c r="M41" s="10"/>
    </row>
    <row r="42" spans="1:13" x14ac:dyDescent="0.3">
      <c r="A42" s="85" t="str">
        <f>("Passenger Revenue -: [cents/" &amp;'Annual Operational Data'!$A$33 &amp; "]")</f>
        <v>Passenger Revenue -: [cents/ASMs]</v>
      </c>
      <c r="B42" s="5">
        <f>IFERROR(B9*100/'Annual Operational Data'!B$33, "N/A")</f>
        <v>14.411520700570135</v>
      </c>
      <c r="C42" s="5">
        <f>IFERROR(C9*100/'Annual Operational Data'!C$33, "N/A")</f>
        <v>15.533119753545387</v>
      </c>
      <c r="D42" s="5">
        <f>IFERROR(D9*100/'Annual Operational Data'!D$33, "N/A")</f>
        <v>15.967037880771716</v>
      </c>
      <c r="E42" s="5">
        <f>IFERROR(E9*100/'Annual Operational Data'!E$33, "N/A")</f>
        <v>15.606839533653643</v>
      </c>
      <c r="F42" s="5">
        <f>IFERROR(F9*100/'Annual Operational Data'!F$33, "N/A")</f>
        <v>15.350547057591625</v>
      </c>
      <c r="G42" s="5">
        <f>IFERROR(G9*100/'Annual Operational Data'!G$33, "N/A")</f>
        <v>12.02053179650877</v>
      </c>
      <c r="H42" s="5">
        <f>IFERROR(H9*100/'Annual Operational Data'!H$33, "N/A")</f>
        <v>10.699503716784617</v>
      </c>
      <c r="I42" s="5">
        <f>IFERROR(I9*100/'Annual Operational Data'!I$33, "N/A")</f>
        <v>10.771444871372267</v>
      </c>
      <c r="J42" s="5">
        <f>IFERROR(J9*100/'Annual Operational Data'!J$33, "N/A")</f>
        <v>11.248006819244983</v>
      </c>
      <c r="K42" s="5">
        <f>IFERROR(K9*100/'Annual Operational Data'!K$33, "N/A")</f>
        <v>11.511568278384159</v>
      </c>
      <c r="L42" s="5">
        <f>IFERROR(L9*100/'Annual Operational Data'!L$33, "N/A")</f>
        <v>8.8346450642484697</v>
      </c>
      <c r="M42" s="5">
        <f>IFERROR(M9*100/'Annual Operational Data'!M$33, "N/A")</f>
        <v>8.9146606769714278</v>
      </c>
    </row>
    <row r="43" spans="1:13" x14ac:dyDescent="0.3">
      <c r="A43" s="85" t="s">
        <v>0</v>
      </c>
      <c r="B43" s="61">
        <f t="shared" ref="B43" si="126">IFERROR((B42/A42)-1,0)</f>
        <v>0</v>
      </c>
      <c r="C43" s="61">
        <f t="shared" ref="C43" si="127">IFERROR((C42/B42)-1,0)</f>
        <v>7.7826558090492215E-2</v>
      </c>
      <c r="D43" s="61">
        <f t="shared" ref="D43" si="128">IFERROR((D42/C42)-1,0)</f>
        <v>2.7935027483921182E-2</v>
      </c>
      <c r="E43" s="61">
        <f t="shared" ref="E43" si="129">IFERROR((E42/D42)-1,0)</f>
        <v>-2.2558870957013366E-2</v>
      </c>
      <c r="F43" s="61">
        <f t="shared" ref="F43" si="130">IFERROR((F42/E42)-1,0)</f>
        <v>-1.6421805036783033E-2</v>
      </c>
      <c r="G43" s="61">
        <f t="shared" ref="G43" si="131">IFERROR((G42/F42)-1,0)</f>
        <v>-0.21693137375426585</v>
      </c>
      <c r="H43" s="61">
        <f t="shared" ref="H43" si="132">IFERROR((H42/G42)-1,0)</f>
        <v>-0.10989764031137383</v>
      </c>
      <c r="I43" s="61">
        <f t="shared" ref="I43" si="133">IFERROR((I42/H42)-1,0)</f>
        <v>6.7237842513008239E-3</v>
      </c>
      <c r="J43" s="61">
        <f t="shared" ref="J43" si="134">IFERROR((J42/I42)-1,0)</f>
        <v>4.4243084708096569E-2</v>
      </c>
      <c r="K43" s="61">
        <f t="shared" ref="K43" si="135">IFERROR((K42/J42)-1,0)</f>
        <v>2.3431836713348142E-2</v>
      </c>
      <c r="L43" s="61">
        <f t="shared" ref="L43" si="136">IFERROR((L42/K42)-1,0)</f>
        <v>-0.23254200899475008</v>
      </c>
      <c r="M43" s="61">
        <f t="shared" ref="M43" si="137">IFERROR((M42/L42)-1,0)</f>
        <v>9.0570263028177944E-3</v>
      </c>
    </row>
    <row r="44" spans="1:13" x14ac:dyDescent="0.3">
      <c r="A44" s="85" t="str">
        <f>("Ancillary Revenue -: [cents/" &amp;'Annual Operational Data'!$A$33 &amp; "]")</f>
        <v>Ancillary Revenue -: [cents/ASMs]</v>
      </c>
      <c r="B44" s="5">
        <f>IFERROR(B$11*100/'Annual Operational Data'!B$33, "N/A")</f>
        <v>0</v>
      </c>
      <c r="C44" s="5">
        <f>IFERROR(C$11*100/'Annual Operational Data'!C$33, "N/A")</f>
        <v>0</v>
      </c>
      <c r="D44" s="5">
        <f>IFERROR(D$11*100/'Annual Operational Data'!D$33, "N/A")</f>
        <v>0</v>
      </c>
      <c r="E44" s="5">
        <f>IFERROR(E$11*100/'Annual Operational Data'!E$33, "N/A")</f>
        <v>0</v>
      </c>
      <c r="F44" s="5">
        <f>IFERROR(F$11*100/'Annual Operational Data'!F$33, "N/A")</f>
        <v>0</v>
      </c>
      <c r="G44" s="5">
        <f>IFERROR(G$11*100/'Annual Operational Data'!G$33, "N/A")</f>
        <v>0</v>
      </c>
      <c r="H44" s="5">
        <f>IFERROR(H$11*100/'Annual Operational Data'!H$33, "N/A")</f>
        <v>0</v>
      </c>
      <c r="I44" s="5">
        <f>IFERROR(I$11*100/'Annual Operational Data'!I$33, "N/A")</f>
        <v>0</v>
      </c>
      <c r="J44" s="5">
        <f>IFERROR(J$11*100/'Annual Operational Data'!J$33, "N/A")</f>
        <v>0</v>
      </c>
      <c r="K44" s="5">
        <f>IFERROR(K$11*100/'Annual Operational Data'!K$33, "N/A")</f>
        <v>0</v>
      </c>
      <c r="L44" s="5">
        <f>IFERROR(L$11*100/'Annual Operational Data'!L$33, "N/A")</f>
        <v>0</v>
      </c>
      <c r="M44" s="5">
        <f>IFERROR(M$11*100/'Annual Operational Data'!M$33, "N/A")</f>
        <v>0</v>
      </c>
    </row>
    <row r="45" spans="1:13" x14ac:dyDescent="0.3">
      <c r="A45" s="85" t="s">
        <v>0</v>
      </c>
      <c r="B45" s="61">
        <f t="shared" ref="B45" si="138">IFERROR((B44/A44)-1,0)</f>
        <v>0</v>
      </c>
      <c r="C45" s="61">
        <f t="shared" ref="C45" si="139">IFERROR((C44/B44)-1,0)</f>
        <v>0</v>
      </c>
      <c r="D45" s="61">
        <f t="shared" ref="D45" si="140">IFERROR((D44/C44)-1,0)</f>
        <v>0</v>
      </c>
      <c r="E45" s="61">
        <f t="shared" ref="E45" si="141">IFERROR((E44/D44)-1,0)</f>
        <v>0</v>
      </c>
      <c r="F45" s="61">
        <f t="shared" ref="F45" si="142">IFERROR((F44/E44)-1,0)</f>
        <v>0</v>
      </c>
      <c r="G45" s="61">
        <f t="shared" ref="G45" si="143">IFERROR((G44/F44)-1,0)</f>
        <v>0</v>
      </c>
      <c r="H45" s="61">
        <f t="shared" ref="H45" si="144">IFERROR((H44/G44)-1,0)</f>
        <v>0</v>
      </c>
      <c r="I45" s="61">
        <f t="shared" ref="I45" si="145">IFERROR((I44/H44)-1,0)</f>
        <v>0</v>
      </c>
      <c r="J45" s="61">
        <f t="shared" ref="J45" si="146">IFERROR((J44/I44)-1,0)</f>
        <v>0</v>
      </c>
      <c r="K45" s="61">
        <f t="shared" ref="K45" si="147">IFERROR((K44/J44)-1,0)</f>
        <v>0</v>
      </c>
      <c r="L45" s="61">
        <f t="shared" ref="L45" si="148">IFERROR((L44/K44)-1,0)</f>
        <v>0</v>
      </c>
      <c r="M45" s="61">
        <f t="shared" ref="M45" si="149">IFERROR((M44/L44)-1,0)</f>
        <v>0</v>
      </c>
    </row>
    <row r="46" spans="1:13" x14ac:dyDescent="0.3">
      <c r="A46" s="85" t="str">
        <f>("Cargo Revenue -: [cents/"&amp;'Annual Operational Data'!$A$33 &amp; "]")</f>
        <v>Cargo Revenue -: [cents/ASMs]</v>
      </c>
      <c r="B46" s="5">
        <f>IFERROR(B13*100/'Annual Operational Data'!B$33, "N/A")</f>
        <v>0.71239722567791275</v>
      </c>
      <c r="C46" s="5">
        <f>IFERROR(C13*100/'Annual Operational Data'!C$33, "N/A")</f>
        <v>0.7319191419920974</v>
      </c>
      <c r="D46" s="5">
        <f>IFERROR(D13*100/'Annual Operational Data'!D$33, "N/A")</f>
        <v>0.72570685348017128</v>
      </c>
      <c r="E46" s="5">
        <f>IFERROR(E13*100/'Annual Operational Data'!E$33, "N/A")</f>
        <v>0.6712314616597248</v>
      </c>
      <c r="F46" s="5">
        <f>IFERROR(F13*100/'Annual Operational Data'!F$33, "N/A")</f>
        <v>0.65282739943332735</v>
      </c>
      <c r="G46" s="5">
        <f>IFERROR(G13*100/'Annual Operational Data'!G$33, "N/A")</f>
        <v>0.48972536948739431</v>
      </c>
      <c r="H46" s="5">
        <f>IFERROR(H13*100/'Annual Operational Data'!H$33, "N/A")</f>
        <v>0.41665241124077607</v>
      </c>
      <c r="I46" s="5">
        <f>IFERROR(I13*100/'Annual Operational Data'!I$33, "N/A")</f>
        <v>0.48382552459346095</v>
      </c>
      <c r="J46" s="5">
        <f>IFERROR(J13*100/'Annual Operational Data'!J$33, "N/A")</f>
        <v>0.55888555633028414</v>
      </c>
      <c r="K46" s="5">
        <f>IFERROR(K13*100/'Annual Operational Data'!K$33, "N/A")</f>
        <v>0.47898064389516265</v>
      </c>
      <c r="L46" s="5">
        <f>IFERROR(L13*100/'Annual Operational Data'!L$33, "N/A")</f>
        <v>1.8548319167294822</v>
      </c>
      <c r="M46" s="5">
        <f>IFERROR(M13*100/'Annual Operational Data'!M$33, "N/A")</f>
        <v>3.9252479310948543</v>
      </c>
    </row>
    <row r="47" spans="1:13" x14ac:dyDescent="0.3">
      <c r="A47" s="85" t="s">
        <v>0</v>
      </c>
      <c r="B47" s="61">
        <f t="shared" ref="B47" si="150">IFERROR((B46/A46)-1,0)</f>
        <v>0</v>
      </c>
      <c r="C47" s="61">
        <f t="shared" ref="C47" si="151">IFERROR((C46/B46)-1,0)</f>
        <v>2.7403133547590164E-2</v>
      </c>
      <c r="D47" s="61">
        <f t="shared" ref="D47" si="152">IFERROR((D46/C46)-1,0)</f>
        <v>-8.4876705028069654E-3</v>
      </c>
      <c r="E47" s="61">
        <f t="shared" ref="E47" si="153">IFERROR((E46/D46)-1,0)</f>
        <v>-7.5065285051679531E-2</v>
      </c>
      <c r="F47" s="61">
        <f t="shared" ref="F47" si="154">IFERROR((F46/E46)-1,0)</f>
        <v>-2.7418354587984473E-2</v>
      </c>
      <c r="G47" s="61">
        <f t="shared" ref="G47" si="155">IFERROR((G46/F46)-1,0)</f>
        <v>-0.24983943702042866</v>
      </c>
      <c r="H47" s="61">
        <f t="shared" ref="H47" si="156">IFERROR((H46/G46)-1,0)</f>
        <v>-0.14921211519653399</v>
      </c>
      <c r="I47" s="61">
        <f t="shared" ref="I47" si="157">IFERROR((I46/H46)-1,0)</f>
        <v>0.1612209879036719</v>
      </c>
      <c r="J47" s="61">
        <f t="shared" ref="J47" si="158">IFERROR((J46/I46)-1,0)</f>
        <v>0.15513863556473817</v>
      </c>
      <c r="K47" s="61">
        <f t="shared" ref="K47" si="159">IFERROR((K46/J46)-1,0)</f>
        <v>-0.14297186880224211</v>
      </c>
      <c r="L47" s="61">
        <f t="shared" ref="L47" si="160">IFERROR((L46/K46)-1,0)</f>
        <v>2.8724569361417878</v>
      </c>
      <c r="M47" s="61">
        <f t="shared" ref="M47" si="161">IFERROR((M46/L46)-1,0)</f>
        <v>1.1162283739520813</v>
      </c>
    </row>
    <row r="48" spans="1:13" x14ac:dyDescent="0.3">
      <c r="A48" s="85" t="str">
        <f>("Other Revenue  -: [cents/"&amp;'Annual Operational Data'!$A$33&amp;"]")</f>
        <v>Other Revenue  -: [cents/ASMs]</v>
      </c>
      <c r="B48" s="5">
        <f>IFERROR(B15*100/'Annual Operational Data'!B$33, "N/A")</f>
        <v>1.3651732243141117</v>
      </c>
      <c r="C48" s="5">
        <f>IFERROR(C15*100/'Annual Operational Data'!C$33, "N/A")</f>
        <v>1.4044934886875384</v>
      </c>
      <c r="D48" s="5">
        <f>IFERROR(D15*100/'Annual Operational Data'!D$33, "N/A")</f>
        <v>1.3309582661162975</v>
      </c>
      <c r="E48" s="5">
        <f>IFERROR(E15*100/'Annual Operational Data'!E$33, "N/A")</f>
        <v>1.2560808153843372</v>
      </c>
      <c r="F48" s="5">
        <f>IFERROR(F15*100/'Annual Operational Data'!F$33, "N/A")</f>
        <v>1.2562375853637338</v>
      </c>
      <c r="G48" s="5">
        <f>IFERROR(G15*100/'Annual Operational Data'!G$33, "N/A")</f>
        <v>0.91170217007337029</v>
      </c>
      <c r="H48" s="5">
        <f>IFERROR(H15*100/'Annual Operational Data'!H$33, "N/A")</f>
        <v>0.82760840279661962</v>
      </c>
      <c r="I48" s="5">
        <f>IFERROR(I15*100/'Annual Operational Data'!I$33, "N/A")</f>
        <v>0.84185641279262213</v>
      </c>
      <c r="J48" s="5">
        <f>IFERROR(J15*100/'Annual Operational Data'!J$33, "N/A")</f>
        <v>0.723140838140928</v>
      </c>
      <c r="K48" s="5">
        <f>IFERROR(K15*100/'Annual Operational Data'!K$33, "N/A")</f>
        <v>0.78961662633763219</v>
      </c>
      <c r="L48" s="5">
        <f>IFERROR(L15*100/'Annual Operational Data'!L$33, "N/A")</f>
        <v>1.0705605954166904</v>
      </c>
      <c r="M48" s="5">
        <f>IFERROR(M15*100/'Annual Operational Data'!M$33, "N/A")</f>
        <v>0.83004855552974066</v>
      </c>
    </row>
    <row r="49" spans="1:13" x14ac:dyDescent="0.3">
      <c r="A49" s="85" t="s">
        <v>0</v>
      </c>
      <c r="B49" s="61">
        <f t="shared" ref="B49" si="162">IFERROR((B48/A48)-1,0)</f>
        <v>0</v>
      </c>
      <c r="C49" s="61">
        <f t="shared" ref="C49" si="163">IFERROR((C48/B48)-1,0)</f>
        <v>2.88023993388693E-2</v>
      </c>
      <c r="D49" s="61">
        <f t="shared" ref="D49" si="164">IFERROR((D48/C48)-1,0)</f>
        <v>-5.2357111772698639E-2</v>
      </c>
      <c r="E49" s="61">
        <f t="shared" ref="E49" si="165">IFERROR((E48/D48)-1,0)</f>
        <v>-5.6258300983734633E-2</v>
      </c>
      <c r="F49" s="61">
        <f t="shared" ref="F49" si="166">IFERROR((F48/E48)-1,0)</f>
        <v>1.2480883194498915E-4</v>
      </c>
      <c r="G49" s="61">
        <f t="shared" ref="G49" si="167">IFERROR((G48/F48)-1,0)</f>
        <v>-0.27425975731382524</v>
      </c>
      <c r="H49" s="61">
        <f t="shared" ref="H49" si="168">IFERROR((H48/G48)-1,0)</f>
        <v>-9.2238200189852737E-2</v>
      </c>
      <c r="I49" s="61">
        <f t="shared" ref="I49" si="169">IFERROR((I48/H48)-1,0)</f>
        <v>1.7215883681045652E-2</v>
      </c>
      <c r="J49" s="61">
        <f t="shared" ref="J49" si="170">IFERROR((J48/I48)-1,0)</f>
        <v>-0.1410164166331983</v>
      </c>
      <c r="K49" s="61">
        <f t="shared" ref="K49" si="171">IFERROR((K48/J48)-1,0)</f>
        <v>9.1926475024702192E-2</v>
      </c>
      <c r="L49" s="61">
        <f t="shared" ref="L49" si="172">IFERROR((L48/K48)-1,0)</f>
        <v>0.35579794004860443</v>
      </c>
      <c r="M49" s="61">
        <f t="shared" ref="M49" si="173">IFERROR((M48/L48)-1,0)</f>
        <v>-0.22465990334095576</v>
      </c>
    </row>
    <row r="50" spans="1:13" x14ac:dyDescent="0.3">
      <c r="A50" s="85" t="str">
        <f>("Total Cargo &amp; Other Revenue -: [cents/" &amp;'Annual Operational Data'!$A$33 &amp; "]")</f>
        <v>Total Cargo &amp; Other Revenue -: [cents/ASMs]</v>
      </c>
      <c r="B50" s="5">
        <f>IFERROR(B17*100/'Annual Operational Data'!B$33, "N/A")</f>
        <v>2.0775704499920247</v>
      </c>
      <c r="C50" s="5">
        <f>IFERROR(C17*100/'Annual Operational Data'!C$33, "N/A")</f>
        <v>2.136412630679636</v>
      </c>
      <c r="D50" s="5">
        <f>IFERROR(D17*100/'Annual Operational Data'!D$33, "N/A")</f>
        <v>2.0566651195964689</v>
      </c>
      <c r="E50" s="5">
        <f>IFERROR(E17*100/'Annual Operational Data'!E$33, "N/A")</f>
        <v>1.9273122770440623</v>
      </c>
      <c r="F50" s="5">
        <f>IFERROR(F17*100/'Annual Operational Data'!F$33, "N/A")</f>
        <v>1.9090649847970609</v>
      </c>
      <c r="G50" s="5">
        <f>IFERROR(G17*100/'Annual Operational Data'!G$33, "N/A")</f>
        <v>1.4014275395607647</v>
      </c>
      <c r="H50" s="5">
        <f>IFERROR(H17*100/'Annual Operational Data'!H$33, "N/A")</f>
        <v>1.2442608140373956</v>
      </c>
      <c r="I50" s="5">
        <f>IFERROR(I17*100/'Annual Operational Data'!I$33, "N/A")</f>
        <v>1.3256819373860833</v>
      </c>
      <c r="J50" s="5">
        <f>IFERROR(J17*100/'Annual Operational Data'!J$33, "N/A")</f>
        <v>1.282026394471212</v>
      </c>
      <c r="K50" s="5">
        <f>IFERROR(K17*100/'Annual Operational Data'!K$33, "N/A")</f>
        <v>1.2685972702327948</v>
      </c>
      <c r="L50" s="5">
        <f>IFERROR(L17*100/'Annual Operational Data'!L$33, "N/A")</f>
        <v>2.9253925121461726</v>
      </c>
      <c r="M50" s="5">
        <f>IFERROR(M17*100/'Annual Operational Data'!M$33, "N/A")</f>
        <v>4.7552964866245953</v>
      </c>
    </row>
    <row r="51" spans="1:13" x14ac:dyDescent="0.3">
      <c r="A51" s="85" t="s">
        <v>0</v>
      </c>
      <c r="B51" s="61">
        <f t="shared" ref="B51" si="174">IFERROR((B50/A50)-1,0)</f>
        <v>0</v>
      </c>
      <c r="C51" s="61">
        <f t="shared" ref="C51" si="175">IFERROR((C50/B50)-1,0)</f>
        <v>2.8322592231631472E-2</v>
      </c>
      <c r="D51" s="61">
        <f t="shared" ref="D51" si="176">IFERROR((D50/C50)-1,0)</f>
        <v>-3.7327766152458031E-2</v>
      </c>
      <c r="E51" s="61">
        <f t="shared" ref="E51" si="177">IFERROR((E50/D50)-1,0)</f>
        <v>-6.2894460221013748E-2</v>
      </c>
      <c r="F51" s="61">
        <f t="shared" ref="F51" si="178">IFERROR((F50/E50)-1,0)</f>
        <v>-9.4677403679426231E-3</v>
      </c>
      <c r="G51" s="61">
        <f t="shared" ref="G51" si="179">IFERROR((G50/F50)-1,0)</f>
        <v>-0.2659089393388353</v>
      </c>
      <c r="H51" s="61">
        <f t="shared" ref="H51" si="180">IFERROR((H50/G50)-1,0)</f>
        <v>-0.11214759314108258</v>
      </c>
      <c r="I51" s="61">
        <f t="shared" ref="I51" si="181">IFERROR((I50/H50)-1,0)</f>
        <v>6.543734434944648E-2</v>
      </c>
      <c r="J51" s="61">
        <f t="shared" ref="J51" si="182">IFERROR((J50/I50)-1,0)</f>
        <v>-3.2930631159499124E-2</v>
      </c>
      <c r="K51" s="61">
        <f t="shared" ref="K51" si="183">IFERROR((K50/J50)-1,0)</f>
        <v>-1.0474920248390251E-2</v>
      </c>
      <c r="L51" s="61">
        <f t="shared" ref="L51" si="184">IFERROR((L50/K50)-1,0)</f>
        <v>1.3060056810695695</v>
      </c>
      <c r="M51" s="61">
        <f t="shared" ref="M51" si="185">IFERROR((M50/L50)-1,0)</f>
        <v>0.62552425593512573</v>
      </c>
    </row>
    <row r="52" spans="1:13" x14ac:dyDescent="0.3">
      <c r="A52" s="14" t="str">
        <f>("Total Revenue -: [cents/"&amp;'Annual Operational Data'!$A$33 &amp; "]")</f>
        <v>Total Revenue -: [cents/ASMs]</v>
      </c>
      <c r="B52" s="6">
        <f>IFERROR(B19*100/'Annual Operational Data'!B$33, "N/A")</f>
        <v>16.48909115056216</v>
      </c>
      <c r="C52" s="6">
        <f>IFERROR(C19*100/'Annual Operational Data'!C$33, "N/A")</f>
        <v>17.669532384225025</v>
      </c>
      <c r="D52" s="6">
        <f>IFERROR(D19*100/'Annual Operational Data'!D$33, "N/A")</f>
        <v>18.023703000368187</v>
      </c>
      <c r="E52" s="6">
        <f>IFERROR(E19*100/'Annual Operational Data'!E$33, "N/A")</f>
        <v>17.534151810697704</v>
      </c>
      <c r="F52" s="6">
        <f>IFERROR(F19*100/'Annual Operational Data'!F$33, "N/A")</f>
        <v>17.259612042388685</v>
      </c>
      <c r="G52" s="6">
        <f>IFERROR(G19*100/'Annual Operational Data'!G$33, "N/A")</f>
        <v>13.421959336069534</v>
      </c>
      <c r="H52" s="6">
        <f>IFERROR(H19*100/'Annual Operational Data'!H$33, "N/A")</f>
        <v>11.943764530822012</v>
      </c>
      <c r="I52" s="6">
        <f>IFERROR(I19*100/'Annual Operational Data'!I$33, "N/A")</f>
        <v>12.097126808758352</v>
      </c>
      <c r="J52" s="6">
        <f>IFERROR(J19*100/'Annual Operational Data'!J$33, "N/A")</f>
        <v>12.530033213716196</v>
      </c>
      <c r="K52" s="6">
        <f>IFERROR(K19*100/'Annual Operational Data'!K$33, "N/A")</f>
        <v>12.780165548616955</v>
      </c>
      <c r="L52" s="6">
        <f>IFERROR(L19*100/'Annual Operational Data'!L$33, "N/A")</f>
        <v>11.760037576394643</v>
      </c>
      <c r="M52" s="6">
        <f>IFERROR(M19*100/'Annual Operational Data'!M$33, "N/A")</f>
        <v>13.669957163596022</v>
      </c>
    </row>
    <row r="53" spans="1:13" x14ac:dyDescent="0.3">
      <c r="A53" s="85" t="s">
        <v>0</v>
      </c>
      <c r="B53" s="61">
        <f t="shared" ref="B53" si="186">IFERROR((B52/A52)-1,0)</f>
        <v>0</v>
      </c>
      <c r="C53" s="61">
        <f t="shared" ref="C53" si="187">IFERROR((C52/B52)-1,0)</f>
        <v>7.1589223619679121E-2</v>
      </c>
      <c r="D53" s="61">
        <f t="shared" ref="D53" si="188">IFERROR((D52/C52)-1,0)</f>
        <v>2.0044141997745069E-2</v>
      </c>
      <c r="E53" s="61">
        <f t="shared" ref="E53" si="189">IFERROR((E52/D52)-1,0)</f>
        <v>-2.7161521118078902E-2</v>
      </c>
      <c r="F53" s="61">
        <f t="shared" ref="F53" si="190">IFERROR((F52/E52)-1,0)</f>
        <v>-1.5657430782680892E-2</v>
      </c>
      <c r="G53" s="61">
        <f t="shared" ref="G53" si="191">IFERROR((G52/F52)-1,0)</f>
        <v>-0.22234872353411428</v>
      </c>
      <c r="H53" s="61">
        <f t="shared" ref="H53" si="192">IFERROR((H52/G52)-1,0)</f>
        <v>-0.11013256471989841</v>
      </c>
      <c r="I53" s="61">
        <f t="shared" ref="I53" si="193">IFERROR((I52/H52)-1,0)</f>
        <v>1.2840363483437311E-2</v>
      </c>
      <c r="J53" s="61">
        <f t="shared" ref="J53" si="194">IFERROR((J52/I52)-1,0)</f>
        <v>3.5785886334961603E-2</v>
      </c>
      <c r="K53" s="61">
        <f t="shared" ref="K53" si="195">IFERROR((K52/J52)-1,0)</f>
        <v>1.996262345314026E-2</v>
      </c>
      <c r="L53" s="61">
        <f t="shared" ref="L53" si="196">IFERROR((L52/K52)-1,0)</f>
        <v>-7.9821186066929228E-2</v>
      </c>
      <c r="M53" s="61">
        <f t="shared" ref="M53" si="197">IFERROR((M52/L52)-1,0)</f>
        <v>0.16240760922695263</v>
      </c>
    </row>
    <row r="54" spans="1:13" x14ac:dyDescent="0.3">
      <c r="A54" s="8" t="str">
        <f>IF(Inputs!$E$10 = "miles", "Per RFTM:", "Per RFTK:")</f>
        <v>Per RFTM:</v>
      </c>
      <c r="B54" s="10"/>
      <c r="C54" s="10"/>
      <c r="D54" s="10"/>
      <c r="E54" s="10"/>
      <c r="F54" s="10"/>
      <c r="G54" s="10"/>
      <c r="H54" s="10"/>
      <c r="I54" s="10"/>
      <c r="J54" s="10"/>
      <c r="K54" s="10"/>
      <c r="L54" s="10"/>
      <c r="M54" s="10"/>
    </row>
    <row r="55" spans="1:13" x14ac:dyDescent="0.3">
      <c r="A55" s="85" t="str">
        <f>("Cargo Revenue -: [cents/"&amp;'Annual Operational Data'!$A$37 &amp; "]")</f>
        <v>Cargo Revenue -: [cents/RFTMs]</v>
      </c>
      <c r="B55" s="5" t="str">
        <f>IFERROR(B13*100/'Annual Operational Data'!B37,"N/A")</f>
        <v>N/A</v>
      </c>
      <c r="C55" s="5" t="str">
        <f>IFERROR(C13*100/'Annual Operational Data'!C37,"N/A")</f>
        <v>N/A</v>
      </c>
      <c r="D55" s="5" t="str">
        <f>IFERROR(D13*100/'Annual Operational Data'!D37,"N/A")</f>
        <v>N/A</v>
      </c>
      <c r="E55" s="5" t="str">
        <f>IFERROR(E13*100/'Annual Operational Data'!E37,"N/A")</f>
        <v>N/A</v>
      </c>
      <c r="F55" s="5" t="str">
        <f>IFERROR(F13*100/'Annual Operational Data'!F37,"N/A")</f>
        <v>N/A</v>
      </c>
      <c r="G55" s="5" t="str">
        <f>IFERROR(G13*100/'Annual Operational Data'!G37,"N/A")</f>
        <v>N/A</v>
      </c>
      <c r="H55" s="5" t="str">
        <f>IFERROR(H13*100/'Annual Operational Data'!H37,"N/A")</f>
        <v>N/A</v>
      </c>
      <c r="I55" s="5" t="str">
        <f>IFERROR(I13*100/'Annual Operational Data'!I37,"N/A")</f>
        <v>N/A</v>
      </c>
      <c r="J55" s="5" t="str">
        <f>IFERROR(J13*100/'Annual Operational Data'!J37,"N/A")</f>
        <v>N/A</v>
      </c>
      <c r="K55" s="5" t="str">
        <f>IFERROR(K13*100/'Annual Operational Data'!K37,"N/A")</f>
        <v>N/A</v>
      </c>
      <c r="L55" s="5" t="str">
        <f>IFERROR(L13*100/'Annual Operational Data'!L37,"N/A")</f>
        <v>N/A</v>
      </c>
      <c r="M55" s="5" t="str">
        <f>IFERROR(M13*100/'Annual Operational Data'!M37,"N/A")</f>
        <v>N/A</v>
      </c>
    </row>
    <row r="56" spans="1:13" x14ac:dyDescent="0.3">
      <c r="A56" s="85" t="s">
        <v>0</v>
      </c>
      <c r="B56" s="61">
        <f t="shared" ref="B56" si="198">IFERROR((B55/A55)-1,0)</f>
        <v>0</v>
      </c>
      <c r="C56" s="61">
        <f t="shared" ref="C56" si="199">IFERROR((C55/B55)-1,0)</f>
        <v>0</v>
      </c>
      <c r="D56" s="61">
        <f t="shared" ref="D56" si="200">IFERROR((D55/C55)-1,0)</f>
        <v>0</v>
      </c>
      <c r="E56" s="61">
        <f t="shared" ref="E56" si="201">IFERROR((E55/D55)-1,0)</f>
        <v>0</v>
      </c>
      <c r="F56" s="61">
        <f t="shared" ref="F56" si="202">IFERROR((F55/E55)-1,0)</f>
        <v>0</v>
      </c>
      <c r="G56" s="61">
        <f t="shared" ref="G56" si="203">IFERROR((G55/F55)-1,0)</f>
        <v>0</v>
      </c>
      <c r="H56" s="61">
        <f t="shared" ref="H56" si="204">IFERROR((H55/G55)-1,0)</f>
        <v>0</v>
      </c>
      <c r="I56" s="61">
        <f t="shared" ref="I56" si="205">IFERROR((I55/H55)-1,0)</f>
        <v>0</v>
      </c>
      <c r="J56" s="61">
        <f t="shared" ref="J56" si="206">IFERROR((J55/I55)-1,0)</f>
        <v>0</v>
      </c>
      <c r="K56" s="61">
        <f t="shared" ref="K56" si="207">IFERROR((K55/J55)-1,0)</f>
        <v>0</v>
      </c>
      <c r="L56" s="61">
        <f t="shared" ref="L56" si="208">IFERROR((L55/K55)-1,0)</f>
        <v>0</v>
      </c>
      <c r="M56" s="61">
        <f t="shared" ref="M56" si="209">IFERROR((M55/L55)-1,0)</f>
        <v>0</v>
      </c>
    </row>
    <row r="57" spans="1:13" x14ac:dyDescent="0.3">
      <c r="A57" s="8" t="str">
        <f>IF(Inputs!$E$10 = "miles", "Per RTM:", "Per RTK:")</f>
        <v>Per RTM:</v>
      </c>
      <c r="B57" s="10"/>
      <c r="C57" s="10"/>
      <c r="D57" s="10"/>
      <c r="E57" s="10"/>
      <c r="F57" s="10"/>
      <c r="G57" s="10"/>
      <c r="H57" s="10"/>
      <c r="I57" s="10"/>
      <c r="J57" s="10"/>
      <c r="K57" s="10"/>
      <c r="L57" s="10"/>
      <c r="M57" s="10"/>
    </row>
    <row r="58" spans="1:13" x14ac:dyDescent="0.3">
      <c r="A58" s="85" t="str">
        <f>("Passenger Revenue -: [cents/" &amp;'Annual Operational Data'!$A$43 &amp; "]")</f>
        <v>Passenger Revenue -: [cents/RTMs]</v>
      </c>
      <c r="B58" s="5" t="str">
        <f>IFERROR(B9*100/'Annual Operational Data'!B$43, "N/A")</f>
        <v>N/A</v>
      </c>
      <c r="C58" s="5" t="str">
        <f>IFERROR(C9*100/'Annual Operational Data'!C$43, "N/A")</f>
        <v>N/A</v>
      </c>
      <c r="D58" s="5" t="str">
        <f>IFERROR(D9*100/'Annual Operational Data'!D$43, "N/A")</f>
        <v>N/A</v>
      </c>
      <c r="E58" s="5" t="str">
        <f>IFERROR(E9*100/'Annual Operational Data'!E$43, "N/A")</f>
        <v>N/A</v>
      </c>
      <c r="F58" s="5" t="str">
        <f>IFERROR(F9*100/'Annual Operational Data'!F$43, "N/A")</f>
        <v>N/A</v>
      </c>
      <c r="G58" s="5" t="str">
        <f>IFERROR(G9*100/'Annual Operational Data'!G$43, "N/A")</f>
        <v>N/A</v>
      </c>
      <c r="H58" s="5" t="str">
        <f>IFERROR(H9*100/'Annual Operational Data'!H$43, "N/A")</f>
        <v>N/A</v>
      </c>
      <c r="I58" s="5" t="str">
        <f>IFERROR(I9*100/'Annual Operational Data'!I$43, "N/A")</f>
        <v>N/A</v>
      </c>
      <c r="J58" s="5" t="str">
        <f>IFERROR(J9*100/'Annual Operational Data'!J$43, "N/A")</f>
        <v>N/A</v>
      </c>
      <c r="K58" s="5" t="str">
        <f>IFERROR(K9*100/'Annual Operational Data'!K$43, "N/A")</f>
        <v>N/A</v>
      </c>
      <c r="L58" s="5" t="str">
        <f>IFERROR(L9*100/'Annual Operational Data'!L$43, "N/A")</f>
        <v>N/A</v>
      </c>
      <c r="M58" s="5" t="str">
        <f>IFERROR(M9*100/'Annual Operational Data'!M$43, "N/A")</f>
        <v>N/A</v>
      </c>
    </row>
    <row r="59" spans="1:13" x14ac:dyDescent="0.3">
      <c r="A59" s="85" t="s">
        <v>0</v>
      </c>
      <c r="B59" s="61">
        <f t="shared" ref="B59" si="210">IFERROR((B58/A58)-1,0)</f>
        <v>0</v>
      </c>
      <c r="C59" s="61">
        <f t="shared" ref="C59" si="211">IFERROR((C58/B58)-1,0)</f>
        <v>0</v>
      </c>
      <c r="D59" s="61">
        <f t="shared" ref="D59" si="212">IFERROR((D58/C58)-1,0)</f>
        <v>0</v>
      </c>
      <c r="E59" s="61">
        <f t="shared" ref="E59" si="213">IFERROR((E58/D58)-1,0)</f>
        <v>0</v>
      </c>
      <c r="F59" s="61">
        <f t="shared" ref="F59" si="214">IFERROR((F58/E58)-1,0)</f>
        <v>0</v>
      </c>
      <c r="G59" s="61">
        <f t="shared" ref="G59" si="215">IFERROR((G58/F58)-1,0)</f>
        <v>0</v>
      </c>
      <c r="H59" s="61">
        <f t="shared" ref="H59" si="216">IFERROR((H58/G58)-1,0)</f>
        <v>0</v>
      </c>
      <c r="I59" s="61">
        <f t="shared" ref="I59" si="217">IFERROR((I58/H58)-1,0)</f>
        <v>0</v>
      </c>
      <c r="J59" s="61">
        <f t="shared" ref="J59" si="218">IFERROR((J58/I58)-1,0)</f>
        <v>0</v>
      </c>
      <c r="K59" s="61">
        <f t="shared" ref="K59" si="219">IFERROR((K58/J58)-1,0)</f>
        <v>0</v>
      </c>
      <c r="L59" s="61">
        <f t="shared" ref="L59" si="220">IFERROR((L58/K58)-1,0)</f>
        <v>0</v>
      </c>
      <c r="M59" s="61">
        <f t="shared" ref="M59" si="221">IFERROR((M58/L58)-1,0)</f>
        <v>0</v>
      </c>
    </row>
    <row r="60" spans="1:13" x14ac:dyDescent="0.3">
      <c r="A60" s="85" t="str">
        <f>("Cargo Revenue -: [cents/"&amp;'Annual Operational Data'!$A$43 &amp; "]")</f>
        <v>Cargo Revenue -: [cents/RTMs]</v>
      </c>
      <c r="B60" s="5" t="str">
        <f>IFERROR(B13*100/'Annual Operational Data'!B$43, "N/A")</f>
        <v>N/A</v>
      </c>
      <c r="C60" s="5" t="str">
        <f>IFERROR(C13*100/'Annual Operational Data'!C$43, "N/A")</f>
        <v>N/A</v>
      </c>
      <c r="D60" s="5" t="str">
        <f>IFERROR(D13*100/'Annual Operational Data'!D$43, "N/A")</f>
        <v>N/A</v>
      </c>
      <c r="E60" s="5" t="str">
        <f>IFERROR(E13*100/'Annual Operational Data'!E$43, "N/A")</f>
        <v>N/A</v>
      </c>
      <c r="F60" s="5" t="str">
        <f>IFERROR(F13*100/'Annual Operational Data'!F$43, "N/A")</f>
        <v>N/A</v>
      </c>
      <c r="G60" s="5" t="str">
        <f>IFERROR(G13*100/'Annual Operational Data'!G$43, "N/A")</f>
        <v>N/A</v>
      </c>
      <c r="H60" s="5" t="str">
        <f>IFERROR(H13*100/'Annual Operational Data'!H$43, "N/A")</f>
        <v>N/A</v>
      </c>
      <c r="I60" s="5" t="str">
        <f>IFERROR(I13*100/'Annual Operational Data'!I$43, "N/A")</f>
        <v>N/A</v>
      </c>
      <c r="J60" s="5" t="str">
        <f>IFERROR(J13*100/'Annual Operational Data'!J$43, "N/A")</f>
        <v>N/A</v>
      </c>
      <c r="K60" s="5" t="str">
        <f>IFERROR(K13*100/'Annual Operational Data'!K$43, "N/A")</f>
        <v>N/A</v>
      </c>
      <c r="L60" s="5" t="str">
        <f>IFERROR(L13*100/'Annual Operational Data'!L$43, "N/A")</f>
        <v>N/A</v>
      </c>
      <c r="M60" s="5" t="str">
        <f>IFERROR(M13*100/'Annual Operational Data'!M$43, "N/A")</f>
        <v>N/A</v>
      </c>
    </row>
    <row r="61" spans="1:13" x14ac:dyDescent="0.3">
      <c r="A61" s="85" t="s">
        <v>0</v>
      </c>
      <c r="B61" s="61">
        <f t="shared" ref="B61" si="222">IFERROR((B60/A60)-1,0)</f>
        <v>0</v>
      </c>
      <c r="C61" s="61">
        <f t="shared" ref="C61" si="223">IFERROR((C60/B60)-1,0)</f>
        <v>0</v>
      </c>
      <c r="D61" s="61">
        <f t="shared" ref="D61" si="224">IFERROR((D60/C60)-1,0)</f>
        <v>0</v>
      </c>
      <c r="E61" s="61">
        <f t="shared" ref="E61" si="225">IFERROR((E60/D60)-1,0)</f>
        <v>0</v>
      </c>
      <c r="F61" s="61">
        <f t="shared" ref="F61" si="226">IFERROR((F60/E60)-1,0)</f>
        <v>0</v>
      </c>
      <c r="G61" s="61">
        <f t="shared" ref="G61" si="227">IFERROR((G60/F60)-1,0)</f>
        <v>0</v>
      </c>
      <c r="H61" s="61">
        <f t="shared" ref="H61" si="228">IFERROR((H60/G60)-1,0)</f>
        <v>0</v>
      </c>
      <c r="I61" s="61">
        <f t="shared" ref="I61" si="229">IFERROR((I60/H60)-1,0)</f>
        <v>0</v>
      </c>
      <c r="J61" s="61">
        <f t="shared" ref="J61" si="230">IFERROR((J60/I60)-1,0)</f>
        <v>0</v>
      </c>
      <c r="K61" s="61">
        <f t="shared" ref="K61" si="231">IFERROR((K60/J60)-1,0)</f>
        <v>0</v>
      </c>
      <c r="L61" s="61">
        <f t="shared" ref="L61" si="232">IFERROR((L60/K60)-1,0)</f>
        <v>0</v>
      </c>
      <c r="M61" s="61">
        <f t="shared" ref="M61" si="233">IFERROR((M60/L60)-1,0)</f>
        <v>0</v>
      </c>
    </row>
    <row r="62" spans="1:13" x14ac:dyDescent="0.3">
      <c r="A62" s="85" t="str">
        <f>("Other Revenue  -: [cents/"&amp;'Annual Operational Data'!$A$43&amp;"]")</f>
        <v>Other Revenue  -: [cents/RTMs]</v>
      </c>
      <c r="B62" s="5" t="str">
        <f>IFERROR(B15*100/'Annual Operational Data'!B$43, "N/A")</f>
        <v>N/A</v>
      </c>
      <c r="C62" s="5" t="str">
        <f>IFERROR(C15*100/'Annual Operational Data'!C$43, "N/A")</f>
        <v>N/A</v>
      </c>
      <c r="D62" s="5" t="str">
        <f>IFERROR(D15*100/'Annual Operational Data'!D$43, "N/A")</f>
        <v>N/A</v>
      </c>
      <c r="E62" s="5" t="str">
        <f>IFERROR(E15*100/'Annual Operational Data'!E$43, "N/A")</f>
        <v>N/A</v>
      </c>
      <c r="F62" s="5" t="str">
        <f>IFERROR(F15*100/'Annual Operational Data'!F$43, "N/A")</f>
        <v>N/A</v>
      </c>
      <c r="G62" s="5" t="str">
        <f>IFERROR(G15*100/'Annual Operational Data'!G$43, "N/A")</f>
        <v>N/A</v>
      </c>
      <c r="H62" s="5" t="str">
        <f>IFERROR(H15*100/'Annual Operational Data'!H$43, "N/A")</f>
        <v>N/A</v>
      </c>
      <c r="I62" s="5" t="str">
        <f>IFERROR(I15*100/'Annual Operational Data'!I$43, "N/A")</f>
        <v>N/A</v>
      </c>
      <c r="J62" s="5" t="str">
        <f>IFERROR(J15*100/'Annual Operational Data'!J$43, "N/A")</f>
        <v>N/A</v>
      </c>
      <c r="K62" s="5" t="str">
        <f>IFERROR(K15*100/'Annual Operational Data'!K$43, "N/A")</f>
        <v>N/A</v>
      </c>
      <c r="L62" s="5" t="str">
        <f>IFERROR(L15*100/'Annual Operational Data'!L$43, "N/A")</f>
        <v>N/A</v>
      </c>
      <c r="M62" s="5" t="str">
        <f>IFERROR(M15*100/'Annual Operational Data'!M$43, "N/A")</f>
        <v>N/A</v>
      </c>
    </row>
    <row r="63" spans="1:13" x14ac:dyDescent="0.3">
      <c r="A63" s="85" t="s">
        <v>0</v>
      </c>
      <c r="B63" s="61">
        <f t="shared" ref="B63" si="234">IFERROR((B62/A62)-1,0)</f>
        <v>0</v>
      </c>
      <c r="C63" s="61">
        <f t="shared" ref="C63" si="235">IFERROR((C62/B62)-1,0)</f>
        <v>0</v>
      </c>
      <c r="D63" s="61">
        <f t="shared" ref="D63" si="236">IFERROR((D62/C62)-1,0)</f>
        <v>0</v>
      </c>
      <c r="E63" s="61">
        <f t="shared" ref="E63" si="237">IFERROR((E62/D62)-1,0)</f>
        <v>0</v>
      </c>
      <c r="F63" s="61">
        <f t="shared" ref="F63" si="238">IFERROR((F62/E62)-1,0)</f>
        <v>0</v>
      </c>
      <c r="G63" s="61">
        <f t="shared" ref="G63" si="239">IFERROR((G62/F62)-1,0)</f>
        <v>0</v>
      </c>
      <c r="H63" s="61">
        <f t="shared" ref="H63" si="240">IFERROR((H62/G62)-1,0)</f>
        <v>0</v>
      </c>
      <c r="I63" s="61">
        <f t="shared" ref="I63" si="241">IFERROR((I62/H62)-1,0)</f>
        <v>0</v>
      </c>
      <c r="J63" s="61">
        <f t="shared" ref="J63" si="242">IFERROR((J62/I62)-1,0)</f>
        <v>0</v>
      </c>
      <c r="K63" s="61">
        <f t="shared" ref="K63" si="243">IFERROR((K62/J62)-1,0)</f>
        <v>0</v>
      </c>
      <c r="L63" s="61">
        <f t="shared" ref="L63" si="244">IFERROR((L62/K62)-1,0)</f>
        <v>0</v>
      </c>
      <c r="M63" s="61">
        <f t="shared" ref="M63" si="245">IFERROR((M62/L62)-1,0)</f>
        <v>0</v>
      </c>
    </row>
    <row r="64" spans="1:13" x14ac:dyDescent="0.3">
      <c r="A64" s="85" t="str">
        <f>("Total Cargo &amp; Other Revenue -: [cents/" &amp;'Annual Operational Data'!$A$43 &amp; "]")</f>
        <v>Total Cargo &amp; Other Revenue -: [cents/RTMs]</v>
      </c>
      <c r="B64" s="5" t="str">
        <f>IFERROR(B17*100/'Annual Operational Data'!B$43, "N/A")</f>
        <v>N/A</v>
      </c>
      <c r="C64" s="5" t="str">
        <f>IFERROR(C17*100/'Annual Operational Data'!C$43, "N/A")</f>
        <v>N/A</v>
      </c>
      <c r="D64" s="5" t="str">
        <f>IFERROR(D17*100/'Annual Operational Data'!D$43, "N/A")</f>
        <v>N/A</v>
      </c>
      <c r="E64" s="5" t="str">
        <f>IFERROR(E17*100/'Annual Operational Data'!E$43, "N/A")</f>
        <v>N/A</v>
      </c>
      <c r="F64" s="5" t="str">
        <f>IFERROR(F17*100/'Annual Operational Data'!F$43, "N/A")</f>
        <v>N/A</v>
      </c>
      <c r="G64" s="5" t="str">
        <f>IFERROR(G17*100/'Annual Operational Data'!G$43, "N/A")</f>
        <v>N/A</v>
      </c>
      <c r="H64" s="5" t="str">
        <f>IFERROR(H17*100/'Annual Operational Data'!H$43, "N/A")</f>
        <v>N/A</v>
      </c>
      <c r="I64" s="5" t="str">
        <f>IFERROR(I17*100/'Annual Operational Data'!I$43, "N/A")</f>
        <v>N/A</v>
      </c>
      <c r="J64" s="5" t="str">
        <f>IFERROR(J17*100/'Annual Operational Data'!J$43, "N/A")</f>
        <v>N/A</v>
      </c>
      <c r="K64" s="5" t="str">
        <f>IFERROR(K17*100/'Annual Operational Data'!K$43, "N/A")</f>
        <v>N/A</v>
      </c>
      <c r="L64" s="5" t="str">
        <f>IFERROR(L17*100/'Annual Operational Data'!L$43, "N/A")</f>
        <v>N/A</v>
      </c>
      <c r="M64" s="5" t="str">
        <f>IFERROR(M17*100/'Annual Operational Data'!M$43, "N/A")</f>
        <v>N/A</v>
      </c>
    </row>
    <row r="65" spans="1:13" x14ac:dyDescent="0.3">
      <c r="A65" s="85" t="s">
        <v>0</v>
      </c>
      <c r="B65" s="61">
        <f t="shared" ref="B65" si="246">IFERROR((B64/A64)-1,0)</f>
        <v>0</v>
      </c>
      <c r="C65" s="61">
        <f t="shared" ref="C65" si="247">IFERROR((C64/B64)-1,0)</f>
        <v>0</v>
      </c>
      <c r="D65" s="61">
        <f t="shared" ref="D65" si="248">IFERROR((D64/C64)-1,0)</f>
        <v>0</v>
      </c>
      <c r="E65" s="61">
        <f t="shared" ref="E65" si="249">IFERROR((E64/D64)-1,0)</f>
        <v>0</v>
      </c>
      <c r="F65" s="61">
        <f t="shared" ref="F65" si="250">IFERROR((F64/E64)-1,0)</f>
        <v>0</v>
      </c>
      <c r="G65" s="61">
        <f t="shared" ref="G65" si="251">IFERROR((G64/F64)-1,0)</f>
        <v>0</v>
      </c>
      <c r="H65" s="61">
        <f t="shared" ref="H65" si="252">IFERROR((H64/G64)-1,0)</f>
        <v>0</v>
      </c>
      <c r="I65" s="61">
        <f t="shared" ref="I65" si="253">IFERROR((I64/H64)-1,0)</f>
        <v>0</v>
      </c>
      <c r="J65" s="61">
        <f t="shared" ref="J65" si="254">IFERROR((J64/I64)-1,0)</f>
        <v>0</v>
      </c>
      <c r="K65" s="61">
        <f t="shared" ref="K65" si="255">IFERROR((K64/J64)-1,0)</f>
        <v>0</v>
      </c>
      <c r="L65" s="61">
        <f t="shared" ref="L65" si="256">IFERROR((L64/K64)-1,0)</f>
        <v>0</v>
      </c>
      <c r="M65" s="61">
        <f t="shared" ref="M65" si="257">IFERROR((M64/L64)-1,0)</f>
        <v>0</v>
      </c>
    </row>
    <row r="66" spans="1:13" x14ac:dyDescent="0.3">
      <c r="A66" s="14" t="str">
        <f>("Total Revenue -: [cents/"&amp;'Annual Operational Data'!$A$43 &amp; "]")</f>
        <v>Total Revenue -: [cents/RTMs]</v>
      </c>
      <c r="B66" s="5" t="str">
        <f>IFERROR(B19*100/'Annual Operational Data'!B$43, "N/A")</f>
        <v>N/A</v>
      </c>
      <c r="C66" s="5" t="str">
        <f>IFERROR(C19*100/'Annual Operational Data'!C$43, "N/A")</f>
        <v>N/A</v>
      </c>
      <c r="D66" s="5" t="str">
        <f>IFERROR(D19*100/'Annual Operational Data'!D$43, "N/A")</f>
        <v>N/A</v>
      </c>
      <c r="E66" s="5" t="str">
        <f>IFERROR(E19*100/'Annual Operational Data'!E$43, "N/A")</f>
        <v>N/A</v>
      </c>
      <c r="F66" s="5" t="str">
        <f>IFERROR(F19*100/'Annual Operational Data'!F$43, "N/A")</f>
        <v>N/A</v>
      </c>
      <c r="G66" s="5" t="str">
        <f>IFERROR(G19*100/'Annual Operational Data'!G$43, "N/A")</f>
        <v>N/A</v>
      </c>
      <c r="H66" s="5" t="str">
        <f>IFERROR(H19*100/'Annual Operational Data'!H$43, "N/A")</f>
        <v>N/A</v>
      </c>
      <c r="I66" s="5" t="str">
        <f>IFERROR(I19*100/'Annual Operational Data'!I$43, "N/A")</f>
        <v>N/A</v>
      </c>
      <c r="J66" s="5" t="str">
        <f>IFERROR(J19*100/'Annual Operational Data'!J$43, "N/A")</f>
        <v>N/A</v>
      </c>
      <c r="K66" s="5" t="str">
        <f>IFERROR(K19*100/'Annual Operational Data'!K$43, "N/A")</f>
        <v>N/A</v>
      </c>
      <c r="L66" s="5" t="str">
        <f>IFERROR(L19*100/'Annual Operational Data'!L$43, "N/A")</f>
        <v>N/A</v>
      </c>
      <c r="M66" s="5" t="str">
        <f>IFERROR(M19*100/'Annual Operational Data'!M$43, "N/A")</f>
        <v>N/A</v>
      </c>
    </row>
    <row r="67" spans="1:13" x14ac:dyDescent="0.3">
      <c r="A67" s="85" t="s">
        <v>0</v>
      </c>
      <c r="B67" s="61">
        <f t="shared" ref="B67" si="258">IFERROR((B66/A66)-1,0)</f>
        <v>0</v>
      </c>
      <c r="C67" s="61">
        <f t="shared" ref="C67" si="259">IFERROR((C66/B66)-1,0)</f>
        <v>0</v>
      </c>
      <c r="D67" s="61">
        <f t="shared" ref="D67" si="260">IFERROR((D66/C66)-1,0)</f>
        <v>0</v>
      </c>
      <c r="E67" s="61">
        <f t="shared" ref="E67" si="261">IFERROR((E66/D66)-1,0)</f>
        <v>0</v>
      </c>
      <c r="F67" s="61">
        <f t="shared" ref="F67" si="262">IFERROR((F66/E66)-1,0)</f>
        <v>0</v>
      </c>
      <c r="G67" s="61">
        <f t="shared" ref="G67" si="263">IFERROR((G66/F66)-1,0)</f>
        <v>0</v>
      </c>
      <c r="H67" s="61">
        <f t="shared" ref="H67" si="264">IFERROR((H66/G66)-1,0)</f>
        <v>0</v>
      </c>
      <c r="I67" s="61">
        <f t="shared" ref="I67" si="265">IFERROR((I66/H66)-1,0)</f>
        <v>0</v>
      </c>
      <c r="J67" s="61">
        <f t="shared" ref="J67" si="266">IFERROR((J66/I66)-1,0)</f>
        <v>0</v>
      </c>
      <c r="K67" s="61">
        <f t="shared" ref="K67" si="267">IFERROR((K66/J66)-1,0)</f>
        <v>0</v>
      </c>
      <c r="L67" s="61">
        <f t="shared" ref="L67" si="268">IFERROR((L66/K66)-1,0)</f>
        <v>0</v>
      </c>
      <c r="M67" s="61">
        <f t="shared" ref="M67" si="269">IFERROR((M66/L66)-1,0)</f>
        <v>0</v>
      </c>
    </row>
    <row r="68" spans="1:13" x14ac:dyDescent="0.3">
      <c r="A68" s="8" t="str">
        <f>IF(Inputs!$E$10 = "miles", "Per ATM:", "Per ATK:")</f>
        <v>Per ATM:</v>
      </c>
      <c r="B68" s="10"/>
      <c r="C68" s="10"/>
      <c r="D68" s="10"/>
      <c r="E68" s="10"/>
      <c r="F68" s="10"/>
      <c r="G68" s="10"/>
      <c r="H68" s="10"/>
      <c r="I68" s="10"/>
      <c r="J68" s="10"/>
      <c r="K68" s="10"/>
      <c r="L68" s="10"/>
      <c r="M68" s="10"/>
    </row>
    <row r="69" spans="1:13" x14ac:dyDescent="0.3">
      <c r="A69" s="85" t="str">
        <f>("Passenger Revenue -: [cents/" &amp;'Annual Operational Data'!$A$45 &amp; "]")</f>
        <v>Passenger Revenue -: [cents/ATMs]</v>
      </c>
      <c r="B69" s="5" t="str">
        <f>IFERROR(B9*100/'Annual Operational Data'!B$45, "N/A")</f>
        <v>N/A</v>
      </c>
      <c r="C69" s="5" t="str">
        <f>IFERROR(C9*100/'Annual Operational Data'!C$45, "N/A")</f>
        <v>N/A</v>
      </c>
      <c r="D69" s="5" t="str">
        <f>IFERROR(D9*100/'Annual Operational Data'!D$45, "N/A")</f>
        <v>N/A</v>
      </c>
      <c r="E69" s="5" t="str">
        <f>IFERROR(E9*100/'Annual Operational Data'!E$45, "N/A")</f>
        <v>N/A</v>
      </c>
      <c r="F69" s="5" t="str">
        <f>IFERROR(F9*100/'Annual Operational Data'!F$45, "N/A")</f>
        <v>N/A</v>
      </c>
      <c r="G69" s="5" t="str">
        <f>IFERROR(G9*100/'Annual Operational Data'!G$45, "N/A")</f>
        <v>N/A</v>
      </c>
      <c r="H69" s="5" t="str">
        <f>IFERROR(H9*100/'Annual Operational Data'!H$45, "N/A")</f>
        <v>N/A</v>
      </c>
      <c r="I69" s="5" t="str">
        <f>IFERROR(I9*100/'Annual Operational Data'!I$45, "N/A")</f>
        <v>N/A</v>
      </c>
      <c r="J69" s="5" t="str">
        <f>IFERROR(J9*100/'Annual Operational Data'!J$45, "N/A")</f>
        <v>N/A</v>
      </c>
      <c r="K69" s="5" t="str">
        <f>IFERROR(K9*100/'Annual Operational Data'!K$45, "N/A")</f>
        <v>N/A</v>
      </c>
      <c r="L69" s="5" t="str">
        <f>IFERROR(L9*100/'Annual Operational Data'!L$45, "N/A")</f>
        <v>N/A</v>
      </c>
      <c r="M69" s="5" t="str">
        <f>IFERROR(M9*100/'Annual Operational Data'!M$45, "N/A")</f>
        <v>N/A</v>
      </c>
    </row>
    <row r="70" spans="1:13" x14ac:dyDescent="0.3">
      <c r="A70" s="85" t="s">
        <v>0</v>
      </c>
      <c r="B70" s="61">
        <f t="shared" ref="B70" si="270">IFERROR((B69/A69)-1,0)</f>
        <v>0</v>
      </c>
      <c r="C70" s="61">
        <f t="shared" ref="C70" si="271">IFERROR((C69/B69)-1,0)</f>
        <v>0</v>
      </c>
      <c r="D70" s="61">
        <f t="shared" ref="D70" si="272">IFERROR((D69/C69)-1,0)</f>
        <v>0</v>
      </c>
      <c r="E70" s="61">
        <f t="shared" ref="E70" si="273">IFERROR((E69/D69)-1,0)</f>
        <v>0</v>
      </c>
      <c r="F70" s="61">
        <f t="shared" ref="F70" si="274">IFERROR((F69/E69)-1,0)</f>
        <v>0</v>
      </c>
      <c r="G70" s="61">
        <f t="shared" ref="G70" si="275">IFERROR((G69/F69)-1,0)</f>
        <v>0</v>
      </c>
      <c r="H70" s="61">
        <f t="shared" ref="H70" si="276">IFERROR((H69/G69)-1,0)</f>
        <v>0</v>
      </c>
      <c r="I70" s="61">
        <f t="shared" ref="I70" si="277">IFERROR((I69/H69)-1,0)</f>
        <v>0</v>
      </c>
      <c r="J70" s="61">
        <f t="shared" ref="J70:L70" si="278">IFERROR((J69/I69)-1,0)</f>
        <v>0</v>
      </c>
      <c r="K70" s="61">
        <f t="shared" si="278"/>
        <v>0</v>
      </c>
      <c r="L70" s="61">
        <f t="shared" si="278"/>
        <v>0</v>
      </c>
      <c r="M70" s="61">
        <f t="shared" ref="M70" si="279">IFERROR((M69/J69)-1,0)</f>
        <v>0</v>
      </c>
    </row>
    <row r="71" spans="1:13" x14ac:dyDescent="0.3">
      <c r="A71" s="85" t="str">
        <f>("Cargo Revenue -: [cents/"&amp;'Annual Operational Data'!$A$45 &amp; "]")</f>
        <v>Cargo Revenue -: [cents/ATMs]</v>
      </c>
      <c r="B71" s="5" t="str">
        <f>IFERROR(B13*100/'Annual Operational Data'!B$45, "N/A")</f>
        <v>N/A</v>
      </c>
      <c r="C71" s="5" t="str">
        <f>IFERROR(C13*100/'Annual Operational Data'!C$45, "N/A")</f>
        <v>N/A</v>
      </c>
      <c r="D71" s="5" t="str">
        <f>IFERROR(D13*100/'Annual Operational Data'!D$45, "N/A")</f>
        <v>N/A</v>
      </c>
      <c r="E71" s="5" t="str">
        <f>IFERROR(E13*100/'Annual Operational Data'!E$45, "N/A")</f>
        <v>N/A</v>
      </c>
      <c r="F71" s="5" t="str">
        <f>IFERROR(F13*100/'Annual Operational Data'!F$45, "N/A")</f>
        <v>N/A</v>
      </c>
      <c r="G71" s="5" t="str">
        <f>IFERROR(G13*100/'Annual Operational Data'!G$45, "N/A")</f>
        <v>N/A</v>
      </c>
      <c r="H71" s="5" t="str">
        <f>IFERROR(H13*100/'Annual Operational Data'!H$45, "N/A")</f>
        <v>N/A</v>
      </c>
      <c r="I71" s="5" t="str">
        <f>IFERROR(I13*100/'Annual Operational Data'!I$45, "N/A")</f>
        <v>N/A</v>
      </c>
      <c r="J71" s="5" t="str">
        <f>IFERROR(J13*100/'Annual Operational Data'!J$45, "N/A")</f>
        <v>N/A</v>
      </c>
      <c r="K71" s="5" t="str">
        <f>IFERROR(K13*100/'Annual Operational Data'!K$45, "N/A")</f>
        <v>N/A</v>
      </c>
      <c r="L71" s="5" t="str">
        <f>IFERROR(L13*100/'Annual Operational Data'!L$45, "N/A")</f>
        <v>N/A</v>
      </c>
      <c r="M71" s="5" t="str">
        <f>IFERROR(M13*100/'Annual Operational Data'!M$45, "N/A")</f>
        <v>N/A</v>
      </c>
    </row>
    <row r="72" spans="1:13" x14ac:dyDescent="0.3">
      <c r="A72" s="85" t="s">
        <v>0</v>
      </c>
      <c r="B72" s="61">
        <f t="shared" ref="B72" si="280">IFERROR((B71/A71)-1,0)</f>
        <v>0</v>
      </c>
      <c r="C72" s="61">
        <f t="shared" ref="C72" si="281">IFERROR((C71/B71)-1,0)</f>
        <v>0</v>
      </c>
      <c r="D72" s="61">
        <f t="shared" ref="D72" si="282">IFERROR((D71/C71)-1,0)</f>
        <v>0</v>
      </c>
      <c r="E72" s="61">
        <f t="shared" ref="E72" si="283">IFERROR((E71/D71)-1,0)</f>
        <v>0</v>
      </c>
      <c r="F72" s="61">
        <f t="shared" ref="F72" si="284">IFERROR((F71/E71)-1,0)</f>
        <v>0</v>
      </c>
      <c r="G72" s="61">
        <f t="shared" ref="G72" si="285">IFERROR((G71/F71)-1,0)</f>
        <v>0</v>
      </c>
      <c r="H72" s="61">
        <f t="shared" ref="H72" si="286">IFERROR((H71/G71)-1,0)</f>
        <v>0</v>
      </c>
      <c r="I72" s="61">
        <f t="shared" ref="I72" si="287">IFERROR((I71/H71)-1,0)</f>
        <v>0</v>
      </c>
      <c r="J72" s="61">
        <f t="shared" ref="J72:L72" si="288">IFERROR((J71/I71)-1,0)</f>
        <v>0</v>
      </c>
      <c r="K72" s="61">
        <f t="shared" si="288"/>
        <v>0</v>
      </c>
      <c r="L72" s="61">
        <f t="shared" si="288"/>
        <v>0</v>
      </c>
      <c r="M72" s="61">
        <f t="shared" ref="M72" si="289">IFERROR((M71/J71)-1,0)</f>
        <v>0</v>
      </c>
    </row>
    <row r="73" spans="1:13" x14ac:dyDescent="0.3">
      <c r="A73" s="85" t="str">
        <f>("Other Revenue  -: [cents/"&amp;'Annual Operational Data'!$A$45&amp;"]")</f>
        <v>Other Revenue  -: [cents/ATMs]</v>
      </c>
      <c r="B73" s="5" t="str">
        <f>IFERROR(B15*100/'Annual Operational Data'!B$45, "N/A")</f>
        <v>N/A</v>
      </c>
      <c r="C73" s="5" t="str">
        <f>IFERROR(C15*100/'Annual Operational Data'!C$45, "N/A")</f>
        <v>N/A</v>
      </c>
      <c r="D73" s="5" t="str">
        <f>IFERROR(D15*100/'Annual Operational Data'!D$45, "N/A")</f>
        <v>N/A</v>
      </c>
      <c r="E73" s="5" t="str">
        <f>IFERROR(E15*100/'Annual Operational Data'!E$45, "N/A")</f>
        <v>N/A</v>
      </c>
      <c r="F73" s="5" t="str">
        <f>IFERROR(F15*100/'Annual Operational Data'!F$45, "N/A")</f>
        <v>N/A</v>
      </c>
      <c r="G73" s="5" t="str">
        <f>IFERROR(G15*100/'Annual Operational Data'!G$45, "N/A")</f>
        <v>N/A</v>
      </c>
      <c r="H73" s="5" t="str">
        <f>IFERROR(H15*100/'Annual Operational Data'!H$45, "N/A")</f>
        <v>N/A</v>
      </c>
      <c r="I73" s="5" t="str">
        <f>IFERROR(I15*100/'Annual Operational Data'!I$45, "N/A")</f>
        <v>N/A</v>
      </c>
      <c r="J73" s="5" t="str">
        <f>IFERROR(J15*100/'Annual Operational Data'!J$45, "N/A")</f>
        <v>N/A</v>
      </c>
      <c r="K73" s="5" t="str">
        <f>IFERROR(K15*100/'Annual Operational Data'!K$45, "N/A")</f>
        <v>N/A</v>
      </c>
      <c r="L73" s="5" t="str">
        <f>IFERROR(L15*100/'Annual Operational Data'!L$45, "N/A")</f>
        <v>N/A</v>
      </c>
      <c r="M73" s="5" t="str">
        <f>IFERROR(M15*100/'Annual Operational Data'!M$45, "N/A")</f>
        <v>N/A</v>
      </c>
    </row>
    <row r="74" spans="1:13" x14ac:dyDescent="0.3">
      <c r="A74" s="85" t="s">
        <v>0</v>
      </c>
      <c r="B74" s="61">
        <f t="shared" ref="B74" si="290">IFERROR((B73/A73)-1,0)</f>
        <v>0</v>
      </c>
      <c r="C74" s="61">
        <f t="shared" ref="C74" si="291">IFERROR((C73/B73)-1,0)</f>
        <v>0</v>
      </c>
      <c r="D74" s="61">
        <f t="shared" ref="D74" si="292">IFERROR((D73/C73)-1,0)</f>
        <v>0</v>
      </c>
      <c r="E74" s="61">
        <f t="shared" ref="E74" si="293">IFERROR((E73/D73)-1,0)</f>
        <v>0</v>
      </c>
      <c r="F74" s="61">
        <f t="shared" ref="F74" si="294">IFERROR((F73/E73)-1,0)</f>
        <v>0</v>
      </c>
      <c r="G74" s="61">
        <f t="shared" ref="G74" si="295">IFERROR((G73/F73)-1,0)</f>
        <v>0</v>
      </c>
      <c r="H74" s="61">
        <f t="shared" ref="H74" si="296">IFERROR((H73/G73)-1,0)</f>
        <v>0</v>
      </c>
      <c r="I74" s="61">
        <f t="shared" ref="I74" si="297">IFERROR((I73/H73)-1,0)</f>
        <v>0</v>
      </c>
      <c r="J74" s="61">
        <f t="shared" ref="J74:L74" si="298">IFERROR((J73/I73)-1,0)</f>
        <v>0</v>
      </c>
      <c r="K74" s="61">
        <f t="shared" si="298"/>
        <v>0</v>
      </c>
      <c r="L74" s="61">
        <f t="shared" si="298"/>
        <v>0</v>
      </c>
      <c r="M74" s="61">
        <f t="shared" ref="M74" si="299">IFERROR((M73/J73)-1,0)</f>
        <v>0</v>
      </c>
    </row>
    <row r="75" spans="1:13" x14ac:dyDescent="0.3">
      <c r="A75" s="85" t="str">
        <f>("Total Cargo &amp; Other Revenue -: [cents/" &amp;'Annual Operational Data'!$A$45 &amp; "]")</f>
        <v>Total Cargo &amp; Other Revenue -: [cents/ATMs]</v>
      </c>
      <c r="B75" s="5" t="str">
        <f>IFERROR(B17*100/'Annual Operational Data'!B$45, "N/A")</f>
        <v>N/A</v>
      </c>
      <c r="C75" s="5" t="str">
        <f>IFERROR(C17*100/'Annual Operational Data'!C$45, "N/A")</f>
        <v>N/A</v>
      </c>
      <c r="D75" s="5" t="str">
        <f>IFERROR(D17*100/'Annual Operational Data'!D$45, "N/A")</f>
        <v>N/A</v>
      </c>
      <c r="E75" s="5" t="str">
        <f>IFERROR(E17*100/'Annual Operational Data'!E$45, "N/A")</f>
        <v>N/A</v>
      </c>
      <c r="F75" s="5" t="str">
        <f>IFERROR(F17*100/'Annual Operational Data'!F$45, "N/A")</f>
        <v>N/A</v>
      </c>
      <c r="G75" s="5" t="str">
        <f>IFERROR(G17*100/'Annual Operational Data'!G$45, "N/A")</f>
        <v>N/A</v>
      </c>
      <c r="H75" s="5" t="str">
        <f>IFERROR(H17*100/'Annual Operational Data'!H$45, "N/A")</f>
        <v>N/A</v>
      </c>
      <c r="I75" s="5" t="str">
        <f>IFERROR(I17*100/'Annual Operational Data'!I$45, "N/A")</f>
        <v>N/A</v>
      </c>
      <c r="J75" s="5" t="str">
        <f>IFERROR(J17*100/'Annual Operational Data'!J$45, "N/A")</f>
        <v>N/A</v>
      </c>
      <c r="K75" s="5" t="str">
        <f>IFERROR(K17*100/'Annual Operational Data'!K$45, "N/A")</f>
        <v>N/A</v>
      </c>
      <c r="L75" s="5" t="str">
        <f>IFERROR(L17*100/'Annual Operational Data'!L$45, "N/A")</f>
        <v>N/A</v>
      </c>
      <c r="M75" s="5" t="str">
        <f>IFERROR(M17*100/'Annual Operational Data'!M$45, "N/A")</f>
        <v>N/A</v>
      </c>
    </row>
    <row r="76" spans="1:13" x14ac:dyDescent="0.3">
      <c r="A76" s="85" t="s">
        <v>0</v>
      </c>
      <c r="B76" s="61">
        <f t="shared" ref="B76" si="300">IFERROR((B75/A75)-1,0)</f>
        <v>0</v>
      </c>
      <c r="C76" s="61">
        <f t="shared" ref="C76" si="301">IFERROR((C75/B75)-1,0)</f>
        <v>0</v>
      </c>
      <c r="D76" s="61">
        <f t="shared" ref="D76" si="302">IFERROR((D75/C75)-1,0)</f>
        <v>0</v>
      </c>
      <c r="E76" s="61">
        <f t="shared" ref="E76" si="303">IFERROR((E75/D75)-1,0)</f>
        <v>0</v>
      </c>
      <c r="F76" s="61">
        <f t="shared" ref="F76" si="304">IFERROR((F75/E75)-1,0)</f>
        <v>0</v>
      </c>
      <c r="G76" s="61">
        <f t="shared" ref="G76" si="305">IFERROR((G75/F75)-1,0)</f>
        <v>0</v>
      </c>
      <c r="H76" s="61">
        <f t="shared" ref="H76" si="306">IFERROR((H75/G75)-1,0)</f>
        <v>0</v>
      </c>
      <c r="I76" s="61">
        <f t="shared" ref="I76" si="307">IFERROR((I75/H75)-1,0)</f>
        <v>0</v>
      </c>
      <c r="J76" s="61">
        <f t="shared" ref="J76:L76" si="308">IFERROR((J75/I75)-1,0)</f>
        <v>0</v>
      </c>
      <c r="K76" s="61">
        <f t="shared" si="308"/>
        <v>0</v>
      </c>
      <c r="L76" s="61">
        <f t="shared" si="308"/>
        <v>0</v>
      </c>
      <c r="M76" s="61">
        <f t="shared" ref="M76" si="309">IFERROR((M75/J75)-1,0)</f>
        <v>0</v>
      </c>
    </row>
    <row r="77" spans="1:13" x14ac:dyDescent="0.3">
      <c r="A77" s="14" t="str">
        <f>("Total Revenue -: [cents/"&amp;'Annual Operational Data'!$A$45 &amp; "]")</f>
        <v>Total Revenue -: [cents/ATMs]</v>
      </c>
      <c r="B77" s="5" t="str">
        <f>IFERROR(B19*100/'Annual Operational Data'!B$45, "N/A")</f>
        <v>N/A</v>
      </c>
      <c r="C77" s="5" t="str">
        <f>IFERROR(C19*100/'Annual Operational Data'!C$45, "N/A")</f>
        <v>N/A</v>
      </c>
      <c r="D77" s="5" t="str">
        <f>IFERROR(D19*100/'Annual Operational Data'!D$45, "N/A")</f>
        <v>N/A</v>
      </c>
      <c r="E77" s="5" t="str">
        <f>IFERROR(E19*100/'Annual Operational Data'!E$45, "N/A")</f>
        <v>N/A</v>
      </c>
      <c r="F77" s="5" t="str">
        <f>IFERROR(F19*100/'Annual Operational Data'!F$45, "N/A")</f>
        <v>N/A</v>
      </c>
      <c r="G77" s="5" t="str">
        <f>IFERROR(G19*100/'Annual Operational Data'!G$45, "N/A")</f>
        <v>N/A</v>
      </c>
      <c r="H77" s="5" t="str">
        <f>IFERROR(H19*100/'Annual Operational Data'!H$45, "N/A")</f>
        <v>N/A</v>
      </c>
      <c r="I77" s="5" t="str">
        <f>IFERROR(I19*100/'Annual Operational Data'!I$45, "N/A")</f>
        <v>N/A</v>
      </c>
      <c r="J77" s="5" t="str">
        <f>IFERROR(J19*100/'Annual Operational Data'!J$45, "N/A")</f>
        <v>N/A</v>
      </c>
      <c r="K77" s="5" t="str">
        <f>IFERROR(K19*100/'Annual Operational Data'!K$45, "N/A")</f>
        <v>N/A</v>
      </c>
      <c r="L77" s="5" t="str">
        <f>IFERROR(L19*100/'Annual Operational Data'!L$45, "N/A")</f>
        <v>N/A</v>
      </c>
      <c r="M77" s="5" t="str">
        <f>IFERROR(M19*100/'Annual Operational Data'!M$45, "N/A")</f>
        <v>N/A</v>
      </c>
    </row>
    <row r="78" spans="1:13" x14ac:dyDescent="0.3">
      <c r="A78" s="85" t="s">
        <v>0</v>
      </c>
      <c r="B78" s="61">
        <f t="shared" ref="B78" si="310">IFERROR((B77/A77)-1,0)</f>
        <v>0</v>
      </c>
      <c r="C78" s="61">
        <f t="shared" ref="C78" si="311">IFERROR((C77/B77)-1,0)</f>
        <v>0</v>
      </c>
      <c r="D78" s="61">
        <f t="shared" ref="D78" si="312">IFERROR((D77/C77)-1,0)</f>
        <v>0</v>
      </c>
      <c r="E78" s="61">
        <f t="shared" ref="E78" si="313">IFERROR((E77/D77)-1,0)</f>
        <v>0</v>
      </c>
      <c r="F78" s="61">
        <f t="shared" ref="F78" si="314">IFERROR((F77/E77)-1,0)</f>
        <v>0</v>
      </c>
      <c r="G78" s="61">
        <f t="shared" ref="G78" si="315">IFERROR((G77/F77)-1,0)</f>
        <v>0</v>
      </c>
      <c r="H78" s="61">
        <f t="shared" ref="H78" si="316">IFERROR((H77/G77)-1,0)</f>
        <v>0</v>
      </c>
      <c r="I78" s="61">
        <f t="shared" ref="I78" si="317">IFERROR((I77/H77)-1,0)</f>
        <v>0</v>
      </c>
      <c r="J78" s="61">
        <f t="shared" ref="J78:L78" si="318">IFERROR((J77/I77)-1,0)</f>
        <v>0</v>
      </c>
      <c r="K78" s="61">
        <f t="shared" si="318"/>
        <v>0</v>
      </c>
      <c r="L78" s="61">
        <f t="shared" si="318"/>
        <v>0</v>
      </c>
      <c r="M78" s="61">
        <f t="shared" ref="M78" si="319">IFERROR((M77/J77)-1,0)</f>
        <v>0</v>
      </c>
    </row>
    <row r="79" spans="1:13" x14ac:dyDescent="0.3">
      <c r="A79" s="8" t="s">
        <v>261</v>
      </c>
      <c r="B79" s="10"/>
      <c r="C79" s="10"/>
      <c r="D79" s="10"/>
      <c r="E79" s="10"/>
      <c r="F79" s="10"/>
      <c r="G79" s="10"/>
      <c r="H79" s="10"/>
      <c r="I79" s="10"/>
      <c r="J79" s="10"/>
      <c r="K79" s="10"/>
      <c r="L79" s="10"/>
      <c r="M79" s="10"/>
    </row>
    <row r="80" spans="1:13" s="52" customFormat="1" x14ac:dyDescent="0.3">
      <c r="A80" s="14" t="s">
        <v>260</v>
      </c>
      <c r="B80" s="70"/>
      <c r="C80" s="70"/>
      <c r="D80" s="70"/>
      <c r="E80" s="70"/>
      <c r="F80" s="70"/>
      <c r="G80" s="70"/>
      <c r="H80" s="70"/>
      <c r="I80" s="70"/>
      <c r="J80" s="70"/>
      <c r="K80" s="70"/>
      <c r="L80" s="70"/>
      <c r="M80" s="70"/>
    </row>
    <row r="81" spans="1:13" x14ac:dyDescent="0.3">
      <c r="A81" s="85" t="str">
        <f>'Revenue Analysis Reported'!A81</f>
        <v>[Insert Breakdown As Applicable]</v>
      </c>
      <c r="B81" s="70">
        <f>'Revenue Analysis Reported'!B81/'Revenue Analysis US$'!B$7</f>
        <v>0</v>
      </c>
      <c r="C81" s="70">
        <f>'Revenue Analysis Reported'!C81/'Revenue Analysis US$'!C$7</f>
        <v>0</v>
      </c>
      <c r="D81" s="70">
        <f>'Revenue Analysis Reported'!D81/'Revenue Analysis US$'!D$7</f>
        <v>0</v>
      </c>
      <c r="E81" s="70">
        <f>'Revenue Analysis Reported'!E81/'Revenue Analysis US$'!E$7</f>
        <v>0</v>
      </c>
      <c r="F81" s="70">
        <f>'Revenue Analysis Reported'!F81/'Revenue Analysis US$'!F$7</f>
        <v>0</v>
      </c>
      <c r="G81" s="70">
        <f>'Revenue Analysis Reported'!G81/'Revenue Analysis US$'!G$7</f>
        <v>0</v>
      </c>
      <c r="H81" s="70">
        <f>'Revenue Analysis Reported'!H81/'Revenue Analysis US$'!H$7</f>
        <v>0</v>
      </c>
      <c r="I81" s="70">
        <f>'Revenue Analysis Reported'!I81/'Revenue Analysis US$'!I$7</f>
        <v>0</v>
      </c>
      <c r="J81" s="70">
        <f>'Revenue Analysis Reported'!J81/'Revenue Analysis US$'!J$7</f>
        <v>0</v>
      </c>
      <c r="K81" s="70">
        <f>'Revenue Analysis Reported'!K81/'Revenue Analysis US$'!K$7</f>
        <v>0</v>
      </c>
      <c r="L81" s="70">
        <f>'Revenue Analysis Reported'!L81/'Revenue Analysis US$'!L$7</f>
        <v>0</v>
      </c>
      <c r="M81" s="70">
        <f>'Revenue Analysis Reported'!M81/'Revenue Analysis US$'!M$7</f>
        <v>0</v>
      </c>
    </row>
    <row r="82" spans="1:13" x14ac:dyDescent="0.3">
      <c r="A82" s="85" t="str">
        <f>'Revenue Analysis Reported'!A82</f>
        <v>[Insert Breakdown As Applicable]</v>
      </c>
      <c r="B82" s="70">
        <f>'Revenue Analysis Reported'!B82/'Revenue Analysis US$'!B$7</f>
        <v>0</v>
      </c>
      <c r="C82" s="70">
        <f>'Revenue Analysis Reported'!C82/'Revenue Analysis US$'!C$7</f>
        <v>0</v>
      </c>
      <c r="D82" s="70">
        <f>'Revenue Analysis Reported'!D82/'Revenue Analysis US$'!D$7</f>
        <v>0</v>
      </c>
      <c r="E82" s="70">
        <f>'Revenue Analysis Reported'!E82/'Revenue Analysis US$'!E$7</f>
        <v>0</v>
      </c>
      <c r="F82" s="70">
        <f>'Revenue Analysis Reported'!F82/'Revenue Analysis US$'!F$7</f>
        <v>0</v>
      </c>
      <c r="G82" s="70">
        <f>'Revenue Analysis Reported'!G82/'Revenue Analysis US$'!G$7</f>
        <v>0</v>
      </c>
      <c r="H82" s="70">
        <f>'Revenue Analysis Reported'!H82/'Revenue Analysis US$'!H$7</f>
        <v>0</v>
      </c>
      <c r="I82" s="70">
        <f>'Revenue Analysis Reported'!I82/'Revenue Analysis US$'!I$7</f>
        <v>0</v>
      </c>
      <c r="J82" s="70">
        <f>'Revenue Analysis Reported'!J82/'Revenue Analysis US$'!J$7</f>
        <v>0</v>
      </c>
      <c r="K82" s="70">
        <f>'Revenue Analysis Reported'!K82/'Revenue Analysis US$'!K$7</f>
        <v>0</v>
      </c>
      <c r="L82" s="70">
        <f>'Revenue Analysis Reported'!L82/'Revenue Analysis US$'!L$7</f>
        <v>0</v>
      </c>
      <c r="M82" s="70">
        <f>'Revenue Analysis Reported'!M82/'Revenue Analysis US$'!M$7</f>
        <v>0</v>
      </c>
    </row>
    <row r="83" spans="1:13" x14ac:dyDescent="0.3">
      <c r="A83" s="85" t="str">
        <f>'Revenue Analysis Reported'!A83</f>
        <v>[Insert Breakdown As Applicable]</v>
      </c>
      <c r="B83" s="70">
        <f>'Revenue Analysis Reported'!B83/'Revenue Analysis US$'!B$7</f>
        <v>0</v>
      </c>
      <c r="C83" s="70">
        <f>'Revenue Analysis Reported'!C83/'Revenue Analysis US$'!C$7</f>
        <v>0</v>
      </c>
      <c r="D83" s="70">
        <f>'Revenue Analysis Reported'!D83/'Revenue Analysis US$'!D$7</f>
        <v>0</v>
      </c>
      <c r="E83" s="70">
        <f>'Revenue Analysis Reported'!E83/'Revenue Analysis US$'!E$7</f>
        <v>0</v>
      </c>
      <c r="F83" s="70">
        <f>'Revenue Analysis Reported'!F83/'Revenue Analysis US$'!F$7</f>
        <v>0</v>
      </c>
      <c r="G83" s="70">
        <f>'Revenue Analysis Reported'!G83/'Revenue Analysis US$'!G$7</f>
        <v>0</v>
      </c>
      <c r="H83" s="70">
        <f>'Revenue Analysis Reported'!H83/'Revenue Analysis US$'!H$7</f>
        <v>0</v>
      </c>
      <c r="I83" s="70">
        <f>'Revenue Analysis Reported'!I83/'Revenue Analysis US$'!I$7</f>
        <v>0</v>
      </c>
      <c r="J83" s="70">
        <f>'Revenue Analysis Reported'!J83/'Revenue Analysis US$'!J$7</f>
        <v>0</v>
      </c>
      <c r="K83" s="70">
        <f>'Revenue Analysis Reported'!K83/'Revenue Analysis US$'!K$7</f>
        <v>0</v>
      </c>
      <c r="L83" s="70">
        <f>'Revenue Analysis Reported'!L83/'Revenue Analysis US$'!L$7</f>
        <v>0</v>
      </c>
      <c r="M83" s="70">
        <f>'Revenue Analysis Reported'!M83/'Revenue Analysis US$'!M$7</f>
        <v>0</v>
      </c>
    </row>
    <row r="84" spans="1:13" x14ac:dyDescent="0.3">
      <c r="A84" s="85" t="str">
        <f>'Revenue Analysis Reported'!A84</f>
        <v>[Insert Breakdown As Applicable]</v>
      </c>
      <c r="B84" s="70">
        <f>'Revenue Analysis Reported'!B84/'Revenue Analysis US$'!B$7</f>
        <v>0</v>
      </c>
      <c r="C84" s="70">
        <f>'Revenue Analysis Reported'!C84/'Revenue Analysis US$'!C$7</f>
        <v>0</v>
      </c>
      <c r="D84" s="70">
        <f>'Revenue Analysis Reported'!D84/'Revenue Analysis US$'!D$7</f>
        <v>0</v>
      </c>
      <c r="E84" s="70">
        <f>'Revenue Analysis Reported'!E84/'Revenue Analysis US$'!E$7</f>
        <v>0</v>
      </c>
      <c r="F84" s="70">
        <f>'Revenue Analysis Reported'!F84/'Revenue Analysis US$'!F$7</f>
        <v>0</v>
      </c>
      <c r="G84" s="70">
        <f>'Revenue Analysis Reported'!G84/'Revenue Analysis US$'!G$7</f>
        <v>0</v>
      </c>
      <c r="H84" s="70">
        <f>'Revenue Analysis Reported'!H84/'Revenue Analysis US$'!H$7</f>
        <v>0</v>
      </c>
      <c r="I84" s="70">
        <f>'Revenue Analysis Reported'!I84/'Revenue Analysis US$'!I$7</f>
        <v>0</v>
      </c>
      <c r="J84" s="70">
        <f>'Revenue Analysis Reported'!J84/'Revenue Analysis US$'!J$7</f>
        <v>0</v>
      </c>
      <c r="K84" s="70">
        <f>'Revenue Analysis Reported'!K84/'Revenue Analysis US$'!K$7</f>
        <v>0</v>
      </c>
      <c r="L84" s="70">
        <f>'Revenue Analysis Reported'!L84/'Revenue Analysis US$'!L$7</f>
        <v>0</v>
      </c>
      <c r="M84" s="70">
        <f>'Revenue Analysis Reported'!M84/'Revenue Analysis US$'!M$7</f>
        <v>0</v>
      </c>
    </row>
    <row r="85" spans="1:13" x14ac:dyDescent="0.3">
      <c r="A85" s="85" t="s">
        <v>341</v>
      </c>
      <c r="B85" s="70">
        <f>'Revenue Analysis Reported'!B85/'Revenue Analysis US$'!B$7</f>
        <v>0</v>
      </c>
      <c r="C85" s="70">
        <f>'Revenue Analysis Reported'!C85/'Revenue Analysis US$'!C$7</f>
        <v>0</v>
      </c>
      <c r="D85" s="70">
        <f>'Revenue Analysis Reported'!D85/'Revenue Analysis US$'!D$7</f>
        <v>0</v>
      </c>
      <c r="E85" s="70">
        <f>'Revenue Analysis Reported'!E85/'Revenue Analysis US$'!E$7</f>
        <v>0</v>
      </c>
      <c r="F85" s="70">
        <f>'Revenue Analysis Reported'!F85/'Revenue Analysis US$'!F$7</f>
        <v>0</v>
      </c>
      <c r="G85" s="70">
        <f>'Revenue Analysis Reported'!G85/'Revenue Analysis US$'!G$7</f>
        <v>0</v>
      </c>
      <c r="H85" s="70">
        <f>'Revenue Analysis Reported'!H85/'Revenue Analysis US$'!H$7</f>
        <v>0</v>
      </c>
      <c r="I85" s="70">
        <f>'Revenue Analysis Reported'!I85/'Revenue Analysis US$'!I$7</f>
        <v>0</v>
      </c>
      <c r="J85" s="70">
        <f>'Revenue Analysis Reported'!J85/'Revenue Analysis US$'!J$7</f>
        <v>0</v>
      </c>
      <c r="K85" s="70">
        <f>'Revenue Analysis Reported'!K85/'Revenue Analysis US$'!K$7</f>
        <v>0</v>
      </c>
      <c r="L85" s="70">
        <f>'Revenue Analysis Reported'!L85/'Revenue Analysis US$'!L$7</f>
        <v>0</v>
      </c>
      <c r="M85" s="70">
        <f>'Revenue Analysis Reported'!M85/'Revenue Analysis US$'!M$7</f>
        <v>0</v>
      </c>
    </row>
    <row r="86" spans="1:13" x14ac:dyDescent="0.3">
      <c r="A86" s="42" t="s">
        <v>257</v>
      </c>
      <c r="B86" s="53">
        <f>SUM(B81:B85)</f>
        <v>0</v>
      </c>
      <c r="C86" s="53">
        <f t="shared" ref="C86:H86" si="320">SUM(C81:C85)</f>
        <v>0</v>
      </c>
      <c r="D86" s="53">
        <f t="shared" si="320"/>
        <v>0</v>
      </c>
      <c r="E86" s="53">
        <f t="shared" si="320"/>
        <v>0</v>
      </c>
      <c r="F86" s="53">
        <f t="shared" si="320"/>
        <v>0</v>
      </c>
      <c r="G86" s="53">
        <f t="shared" si="320"/>
        <v>0</v>
      </c>
      <c r="H86" s="53">
        <f t="shared" si="320"/>
        <v>0</v>
      </c>
      <c r="I86" s="53">
        <f t="shared" ref="I86:M86" si="321">SUM(I81:I85)</f>
        <v>0</v>
      </c>
      <c r="J86" s="53">
        <f t="shared" si="321"/>
        <v>0</v>
      </c>
      <c r="K86" s="53">
        <f t="shared" ref="K86:L86" si="322">SUM(K81:K85)</f>
        <v>0</v>
      </c>
      <c r="L86" s="53">
        <f t="shared" si="322"/>
        <v>0</v>
      </c>
      <c r="M86" s="53">
        <f t="shared" si="321"/>
        <v>0</v>
      </c>
    </row>
    <row r="87" spans="1:13" x14ac:dyDescent="0.3">
      <c r="A87" s="8" t="s">
        <v>259</v>
      </c>
      <c r="B87" s="10"/>
      <c r="C87" s="10"/>
      <c r="D87" s="10"/>
      <c r="E87" s="10"/>
      <c r="F87" s="10"/>
      <c r="G87" s="10"/>
      <c r="H87" s="10"/>
      <c r="I87" s="10"/>
      <c r="J87" s="10"/>
      <c r="K87" s="10"/>
      <c r="L87" s="10"/>
      <c r="M87" s="10"/>
    </row>
    <row r="88" spans="1:13" x14ac:dyDescent="0.3">
      <c r="A88" s="85" t="str">
        <f>'Revenue Analysis Reported'!A88</f>
        <v>[Insert Breakdown As Applicable]</v>
      </c>
      <c r="B88" s="61" t="str">
        <f>IFERROR(B81/B$86,"")</f>
        <v/>
      </c>
      <c r="C88" s="61" t="str">
        <f t="shared" ref="C88:H88" si="323">IFERROR(C81/C$86,"")</f>
        <v/>
      </c>
      <c r="D88" s="61" t="str">
        <f t="shared" si="323"/>
        <v/>
      </c>
      <c r="E88" s="61" t="str">
        <f t="shared" si="323"/>
        <v/>
      </c>
      <c r="F88" s="61" t="str">
        <f t="shared" si="323"/>
        <v/>
      </c>
      <c r="G88" s="61" t="str">
        <f t="shared" si="323"/>
        <v/>
      </c>
      <c r="H88" s="61" t="str">
        <f t="shared" si="323"/>
        <v/>
      </c>
      <c r="I88" s="61" t="str">
        <f t="shared" ref="I88:M88" si="324">IFERROR(I81/I$86,"")</f>
        <v/>
      </c>
      <c r="J88" s="61" t="str">
        <f t="shared" si="324"/>
        <v/>
      </c>
      <c r="K88" s="61" t="str">
        <f t="shared" ref="K88:L88" si="325">IFERROR(K81/K$86,"")</f>
        <v/>
      </c>
      <c r="L88" s="61" t="str">
        <f t="shared" si="325"/>
        <v/>
      </c>
      <c r="M88" s="61" t="str">
        <f t="shared" si="324"/>
        <v/>
      </c>
    </row>
    <row r="89" spans="1:13" x14ac:dyDescent="0.3">
      <c r="A89" s="85" t="str">
        <f>'Revenue Analysis Reported'!A89</f>
        <v>[Insert Breakdown As Applicable]</v>
      </c>
      <c r="B89" s="61" t="str">
        <f t="shared" ref="B89:H92" si="326">IFERROR(B82/B$86,"")</f>
        <v/>
      </c>
      <c r="C89" s="61" t="str">
        <f t="shared" si="326"/>
        <v/>
      </c>
      <c r="D89" s="61" t="str">
        <f t="shared" si="326"/>
        <v/>
      </c>
      <c r="E89" s="61" t="str">
        <f t="shared" si="326"/>
        <v/>
      </c>
      <c r="F89" s="61" t="str">
        <f t="shared" si="326"/>
        <v/>
      </c>
      <c r="G89" s="61" t="str">
        <f t="shared" si="326"/>
        <v/>
      </c>
      <c r="H89" s="61" t="str">
        <f t="shared" si="326"/>
        <v/>
      </c>
      <c r="I89" s="61" t="str">
        <f t="shared" ref="I89:M89" si="327">IFERROR(I82/I$86,"")</f>
        <v/>
      </c>
      <c r="J89" s="61" t="str">
        <f t="shared" si="327"/>
        <v/>
      </c>
      <c r="K89" s="61" t="str">
        <f t="shared" ref="K89:L89" si="328">IFERROR(K82/K$86,"")</f>
        <v/>
      </c>
      <c r="L89" s="61" t="str">
        <f t="shared" si="328"/>
        <v/>
      </c>
      <c r="M89" s="61" t="str">
        <f t="shared" si="327"/>
        <v/>
      </c>
    </row>
    <row r="90" spans="1:13" x14ac:dyDescent="0.3">
      <c r="A90" s="85" t="str">
        <f>'Revenue Analysis Reported'!A90</f>
        <v>[Insert Breakdown As Applicable]</v>
      </c>
      <c r="B90" s="61" t="str">
        <f t="shared" si="326"/>
        <v/>
      </c>
      <c r="C90" s="61" t="str">
        <f t="shared" si="326"/>
        <v/>
      </c>
      <c r="D90" s="61" t="str">
        <f t="shared" si="326"/>
        <v/>
      </c>
      <c r="E90" s="61" t="str">
        <f t="shared" si="326"/>
        <v/>
      </c>
      <c r="F90" s="61" t="str">
        <f t="shared" si="326"/>
        <v/>
      </c>
      <c r="G90" s="61" t="str">
        <f t="shared" si="326"/>
        <v/>
      </c>
      <c r="H90" s="61" t="str">
        <f t="shared" si="326"/>
        <v/>
      </c>
      <c r="I90" s="61" t="str">
        <f t="shared" ref="I90:M90" si="329">IFERROR(I83/I$86,"")</f>
        <v/>
      </c>
      <c r="J90" s="61" t="str">
        <f t="shared" si="329"/>
        <v/>
      </c>
      <c r="K90" s="61" t="str">
        <f t="shared" ref="K90:L90" si="330">IFERROR(K83/K$86,"")</f>
        <v/>
      </c>
      <c r="L90" s="61" t="str">
        <f t="shared" si="330"/>
        <v/>
      </c>
      <c r="M90" s="61" t="str">
        <f t="shared" si="329"/>
        <v/>
      </c>
    </row>
    <row r="91" spans="1:13" x14ac:dyDescent="0.3">
      <c r="A91" s="85" t="str">
        <f>'Revenue Analysis Reported'!A91</f>
        <v>[Insert Breakdown As Applicable]</v>
      </c>
      <c r="B91" s="61" t="str">
        <f t="shared" si="326"/>
        <v/>
      </c>
      <c r="C91" s="61" t="str">
        <f t="shared" si="326"/>
        <v/>
      </c>
      <c r="D91" s="61" t="str">
        <f t="shared" si="326"/>
        <v/>
      </c>
      <c r="E91" s="61" t="str">
        <f t="shared" si="326"/>
        <v/>
      </c>
      <c r="F91" s="61" t="str">
        <f t="shared" si="326"/>
        <v/>
      </c>
      <c r="G91" s="61" t="str">
        <f t="shared" si="326"/>
        <v/>
      </c>
      <c r="H91" s="61" t="str">
        <f t="shared" si="326"/>
        <v/>
      </c>
      <c r="I91" s="61" t="str">
        <f t="shared" ref="I91:M91" si="331">IFERROR(I84/I$86,"")</f>
        <v/>
      </c>
      <c r="J91" s="61" t="str">
        <f t="shared" si="331"/>
        <v/>
      </c>
      <c r="K91" s="61" t="str">
        <f t="shared" ref="K91:L91" si="332">IFERROR(K84/K$86,"")</f>
        <v/>
      </c>
      <c r="L91" s="61" t="str">
        <f t="shared" si="332"/>
        <v/>
      </c>
      <c r="M91" s="61" t="str">
        <f t="shared" si="331"/>
        <v/>
      </c>
    </row>
    <row r="92" spans="1:13" x14ac:dyDescent="0.3">
      <c r="A92" s="85" t="s">
        <v>341</v>
      </c>
      <c r="B92" s="61" t="str">
        <f t="shared" si="326"/>
        <v/>
      </c>
      <c r="C92" s="61" t="str">
        <f t="shared" si="326"/>
        <v/>
      </c>
      <c r="D92" s="61" t="str">
        <f t="shared" si="326"/>
        <v/>
      </c>
      <c r="E92" s="61" t="str">
        <f t="shared" si="326"/>
        <v/>
      </c>
      <c r="F92" s="61" t="str">
        <f t="shared" si="326"/>
        <v/>
      </c>
      <c r="G92" s="61" t="str">
        <f t="shared" si="326"/>
        <v/>
      </c>
      <c r="H92" s="61" t="str">
        <f t="shared" si="326"/>
        <v/>
      </c>
      <c r="I92" s="61" t="str">
        <f t="shared" ref="I92:M92" si="333">IFERROR(I85/I$86,"")</f>
        <v/>
      </c>
      <c r="J92" s="61" t="str">
        <f t="shared" si="333"/>
        <v/>
      </c>
      <c r="K92" s="61" t="str">
        <f t="shared" ref="K92:L92" si="334">IFERROR(K85/K$86,"")</f>
        <v/>
      </c>
      <c r="L92" s="61" t="str">
        <f t="shared" si="334"/>
        <v/>
      </c>
      <c r="M92" s="61" t="str">
        <f t="shared" si="333"/>
        <v/>
      </c>
    </row>
    <row r="93" spans="1:13" x14ac:dyDescent="0.3">
      <c r="A93" s="85" t="s">
        <v>304</v>
      </c>
      <c r="B93" s="2">
        <f>SUM(B88:B92)</f>
        <v>0</v>
      </c>
      <c r="C93" s="2">
        <f>SUM(C88:C92)</f>
        <v>0</v>
      </c>
      <c r="D93" s="2">
        <f t="shared" ref="D93:H93" si="335">SUM(D88:D92)</f>
        <v>0</v>
      </c>
      <c r="E93" s="2">
        <f t="shared" si="335"/>
        <v>0</v>
      </c>
      <c r="F93" s="2">
        <f t="shared" si="335"/>
        <v>0</v>
      </c>
      <c r="G93" s="2">
        <f t="shared" si="335"/>
        <v>0</v>
      </c>
      <c r="H93" s="2">
        <f t="shared" si="335"/>
        <v>0</v>
      </c>
      <c r="I93" s="2">
        <f t="shared" ref="I93:M93" si="336">SUM(I88:I92)</f>
        <v>0</v>
      </c>
      <c r="J93" s="2">
        <f t="shared" si="336"/>
        <v>0</v>
      </c>
      <c r="K93" s="2">
        <f t="shared" ref="K93:L93" si="337">SUM(K88:K92)</f>
        <v>0</v>
      </c>
      <c r="L93" s="2">
        <f t="shared" si="337"/>
        <v>0</v>
      </c>
      <c r="M93" s="2">
        <f t="shared" si="336"/>
        <v>0</v>
      </c>
    </row>
    <row r="94" spans="1:13" x14ac:dyDescent="0.3">
      <c r="B94" s="19"/>
      <c r="C94" s="19"/>
      <c r="D94" s="19"/>
      <c r="E94" s="19"/>
      <c r="F94" s="19"/>
      <c r="G94" s="19"/>
    </row>
  </sheetData>
  <mergeCells count="1">
    <mergeCell ref="A1:M1"/>
  </mergeCells>
  <pageMargins left="0.70866141732283472" right="0.70866141732283472" top="0.74803149606299213" bottom="0.74803149606299213" header="0.31496062992125984" footer="0.31496062992125984"/>
  <pageSetup paperSize="9" scale="77" orientation="portrait" r:id="rId1"/>
  <headerFooter alignWithMargins="0"/>
  <rowBreaks count="1" manualBreakCount="1">
    <brk id="56" max="7" man="1"/>
  </rowBreaks>
  <colBreaks count="1" manualBreakCount="1">
    <brk id="12" max="1048575" man="1"/>
  </colBreaks>
  <ignoredErrors>
    <ignoredError sqref="C86 B46:B79 B36:H36 C54:H54 H86 C87:H87 C21:H22 B15 B24:H30 B33:H35 B31:H32 B38:H39 C40:H41 B40:B43 B44 B17 B19 B21:B22 C57:H57 C68:H68 C79:H79"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Y93"/>
  <sheetViews>
    <sheetView zoomScaleNormal="100" workbookViewId="0">
      <pane xSplit="1" ySplit="7" topLeftCell="I22" activePane="bottomRight" state="frozen"/>
      <selection pane="topRight" activeCell="B1" sqref="B1"/>
      <selection pane="bottomLeft" activeCell="A8" sqref="A8"/>
      <selection pane="bottomRight" activeCell="X67" sqref="X67"/>
    </sheetView>
  </sheetViews>
  <sheetFormatPr defaultColWidth="8.88671875" defaultRowHeight="14.4" x14ac:dyDescent="0.3"/>
  <cols>
    <col min="1" max="1" width="36.44140625" style="13" bestFit="1" customWidth="1"/>
    <col min="2" max="4" width="11.109375" style="13" bestFit="1" customWidth="1"/>
    <col min="5" max="7" width="10.6640625" style="13" bestFit="1" customWidth="1"/>
    <col min="8" max="8" width="10.44140625" style="13" bestFit="1" customWidth="1"/>
    <col min="9" max="9" width="9.6640625" style="13" bestFit="1" customWidth="1"/>
    <col min="10" max="10" width="9.88671875" style="13" bestFit="1" customWidth="1"/>
    <col min="11" max="11" width="9.44140625" style="13" bestFit="1" customWidth="1"/>
    <col min="12" max="13" width="9.6640625" style="13" bestFit="1" customWidth="1"/>
    <col min="14" max="14" width="9.88671875" style="13" bestFit="1" customWidth="1"/>
    <col min="15" max="15" width="9.44140625" style="13" bestFit="1" customWidth="1"/>
    <col min="16" max="17" width="9.6640625" style="13" bestFit="1" customWidth="1"/>
    <col min="18" max="21" width="9.6640625" style="13" customWidth="1"/>
    <col min="22" max="22" width="11.6640625" style="13" customWidth="1"/>
    <col min="23" max="23" width="11.33203125" style="13" customWidth="1"/>
    <col min="24" max="24" width="9.88671875" style="13" customWidth="1"/>
    <col min="25" max="25" width="9.6640625" style="13" customWidth="1"/>
    <col min="26" max="16384" width="8.88671875" style="13"/>
  </cols>
  <sheetData>
    <row r="1" spans="1:25" ht="28.8" x14ac:dyDescent="0.55000000000000004">
      <c r="A1" s="349" t="str">
        <f>IF(Inputs!$E$14 ="Semi-annual",(Inputs!E9 &amp; " - Semi-Annual Revenue Analysis "), (Inputs!E9 &amp; " - Qtrly Revenue Analysis "))</f>
        <v xml:space="preserve">Air Canada - Qtrly Revenue Analysis </v>
      </c>
      <c r="B1" s="349"/>
      <c r="C1" s="349"/>
      <c r="D1" s="349"/>
      <c r="E1" s="349"/>
      <c r="F1" s="349"/>
      <c r="G1" s="349"/>
      <c r="H1" s="349"/>
      <c r="I1" s="349"/>
      <c r="J1" s="349"/>
      <c r="K1" s="349"/>
      <c r="L1" s="349"/>
      <c r="M1" s="349"/>
      <c r="N1" s="349"/>
      <c r="O1" s="349"/>
      <c r="P1" s="349"/>
      <c r="Q1" s="349"/>
      <c r="R1" s="320"/>
      <c r="S1" s="320"/>
      <c r="T1" s="320"/>
      <c r="U1" s="349"/>
      <c r="V1" s="349"/>
      <c r="W1" s="349"/>
      <c r="X1" s="349"/>
      <c r="Y1" s="349"/>
    </row>
    <row r="2" spans="1:25" x14ac:dyDescent="0.3">
      <c r="A2" s="3"/>
      <c r="B2" s="3" t="str">
        <f>'Interim Operational Data'!B2</f>
        <v>Q1</v>
      </c>
      <c r="C2" s="3" t="str">
        <f>'Interim Operational Data'!C2</f>
        <v>Q2</v>
      </c>
      <c r="D2" s="3" t="str">
        <f>'Interim Operational Data'!D2</f>
        <v>Q3</v>
      </c>
      <c r="E2" s="3" t="str">
        <f>'Interim Operational Data'!E2</f>
        <v>Q4</v>
      </c>
      <c r="F2" s="3" t="str">
        <f>'Interim Operational Data'!F2</f>
        <v>Q1</v>
      </c>
      <c r="G2" s="3" t="str">
        <f>'Interim Operational Data'!G2</f>
        <v>Q2</v>
      </c>
      <c r="H2" s="3" t="str">
        <f>'Interim Operational Data'!H2</f>
        <v>Q3</v>
      </c>
      <c r="I2" s="3" t="str">
        <f>'Interim Operational Data'!I2</f>
        <v>Q4</v>
      </c>
      <c r="J2" s="3" t="str">
        <f>'Interim Operational Data'!J2</f>
        <v>Q1</v>
      </c>
      <c r="K2" s="3" t="str">
        <f>'Interim Operational Data'!K2</f>
        <v>Q2</v>
      </c>
      <c r="L2" s="3" t="str">
        <f>'Interim Operational Data'!L2</f>
        <v>Q3</v>
      </c>
      <c r="M2" s="3" t="str">
        <f>'Interim Operational Data'!M2</f>
        <v>Q4</v>
      </c>
      <c r="N2" s="3" t="str">
        <f>'Interim Operational Data'!N2</f>
        <v>Q1</v>
      </c>
      <c r="O2" s="3" t="str">
        <f>'Interim Operational Data'!O2</f>
        <v>Q2</v>
      </c>
      <c r="P2" s="3" t="str">
        <f>'Interim Operational Data'!P2</f>
        <v>Q3</v>
      </c>
      <c r="Q2" s="3" t="str">
        <f>'Interim Operational Data'!Q2</f>
        <v>Q4</v>
      </c>
      <c r="R2" s="3" t="str">
        <f>'Interim Operational Data'!R2</f>
        <v>Q1</v>
      </c>
      <c r="S2" s="3" t="str">
        <f>'Interim Operational Data'!S2</f>
        <v>Q2</v>
      </c>
      <c r="T2" s="3" t="str">
        <f>'Interim Operational Data'!T2</f>
        <v>Q3</v>
      </c>
      <c r="U2" s="3" t="str">
        <f>'Interim Operational Data'!U2</f>
        <v>Q4</v>
      </c>
      <c r="V2" s="3" t="str">
        <f>'Interim Operational Data'!V2</f>
        <v>Q1</v>
      </c>
      <c r="W2" s="3" t="str">
        <f>'Interim Operational Data'!W2</f>
        <v>Q2</v>
      </c>
      <c r="X2" s="3" t="str">
        <f>'Interim Operational Data'!X2</f>
        <v>Q3</v>
      </c>
      <c r="Y2" s="3" t="str">
        <f>'Interim Operational Data'!Y2</f>
        <v>Q4</v>
      </c>
    </row>
    <row r="3" spans="1:25" x14ac:dyDescent="0.3">
      <c r="A3" s="3"/>
      <c r="B3" s="67">
        <f>'Interim Operational Data'!B3</f>
        <v>42094</v>
      </c>
      <c r="C3" s="67">
        <f>'Interim Operational Data'!C3</f>
        <v>42185</v>
      </c>
      <c r="D3" s="67">
        <f>'Interim Operational Data'!D3</f>
        <v>42277</v>
      </c>
      <c r="E3" s="67">
        <f>'Interim Operational Data'!E3</f>
        <v>42369</v>
      </c>
      <c r="F3" s="67">
        <f>'Interim Operational Data'!F3</f>
        <v>42460</v>
      </c>
      <c r="G3" s="67">
        <f>'Interim Operational Data'!G3</f>
        <v>42551</v>
      </c>
      <c r="H3" s="67">
        <f>'Interim Operational Data'!H3</f>
        <v>42643</v>
      </c>
      <c r="I3" s="67">
        <f>'Interim Operational Data'!I3</f>
        <v>42735</v>
      </c>
      <c r="J3" s="67">
        <f>'Interim Operational Data'!J3</f>
        <v>42825</v>
      </c>
      <c r="K3" s="67">
        <f>'Interim Operational Data'!K3</f>
        <v>42916</v>
      </c>
      <c r="L3" s="67">
        <f>'Interim Operational Data'!L3</f>
        <v>43008</v>
      </c>
      <c r="M3" s="67">
        <f>'Interim Operational Data'!M3</f>
        <v>43100</v>
      </c>
      <c r="N3" s="67">
        <f>'Interim Operational Data'!N3</f>
        <v>43190</v>
      </c>
      <c r="O3" s="67">
        <f>'Interim Operational Data'!O3</f>
        <v>43281</v>
      </c>
      <c r="P3" s="67">
        <f>'Interim Operational Data'!P3</f>
        <v>43373</v>
      </c>
      <c r="Q3" s="67">
        <f>'Interim Operational Data'!Q3</f>
        <v>43465</v>
      </c>
      <c r="R3" s="67">
        <f>'Interim Operational Data'!R3</f>
        <v>43555</v>
      </c>
      <c r="S3" s="67">
        <f>'Interim Operational Data'!S3</f>
        <v>43646</v>
      </c>
      <c r="T3" s="67">
        <f>'Interim Operational Data'!T3</f>
        <v>43738</v>
      </c>
      <c r="U3" s="67">
        <f>'Interim Operational Data'!U3</f>
        <v>43830</v>
      </c>
      <c r="V3" s="67">
        <f>'Interim Operational Data'!V3</f>
        <v>43921</v>
      </c>
      <c r="W3" s="67">
        <f>'Interim Operational Data'!W3</f>
        <v>44012</v>
      </c>
      <c r="X3" s="67">
        <f>'Interim Operational Data'!X3</f>
        <v>44104</v>
      </c>
      <c r="Y3" s="67">
        <f>'Interim Operational Data'!Y3</f>
        <v>44196</v>
      </c>
    </row>
    <row r="4" spans="1:25" x14ac:dyDescent="0.3">
      <c r="A4" s="3"/>
      <c r="B4" s="3" t="s">
        <v>1</v>
      </c>
      <c r="C4" s="3" t="s">
        <v>1</v>
      </c>
      <c r="D4" s="3" t="s">
        <v>1</v>
      </c>
      <c r="E4" s="3" t="s">
        <v>1</v>
      </c>
      <c r="F4" s="3" t="s">
        <v>1</v>
      </c>
      <c r="G4" s="3" t="s">
        <v>1</v>
      </c>
      <c r="H4" s="3" t="s">
        <v>1</v>
      </c>
      <c r="I4" s="3" t="s">
        <v>1</v>
      </c>
      <c r="J4" s="3" t="s">
        <v>1</v>
      </c>
      <c r="K4" s="3" t="s">
        <v>1</v>
      </c>
      <c r="L4" s="3" t="s">
        <v>1</v>
      </c>
      <c r="M4" s="3" t="s">
        <v>1</v>
      </c>
      <c r="N4" s="3" t="s">
        <v>1</v>
      </c>
      <c r="O4" s="3" t="s">
        <v>1</v>
      </c>
      <c r="P4" s="3" t="s">
        <v>1</v>
      </c>
      <c r="Q4" s="3" t="s">
        <v>1</v>
      </c>
      <c r="R4" s="3" t="s">
        <v>1</v>
      </c>
      <c r="S4" s="3" t="s">
        <v>1</v>
      </c>
      <c r="T4" s="3" t="s">
        <v>1</v>
      </c>
      <c r="U4" s="3" t="s">
        <v>1</v>
      </c>
      <c r="V4" s="3" t="s">
        <v>1</v>
      </c>
      <c r="W4" s="3" t="s">
        <v>1</v>
      </c>
      <c r="X4" s="3" t="s">
        <v>1</v>
      </c>
      <c r="Y4" s="3" t="s">
        <v>1</v>
      </c>
    </row>
    <row r="5" spans="1:25" x14ac:dyDescent="0.3">
      <c r="A5" s="3"/>
      <c r="B5" s="3" t="str">
        <f>Inputs!$E$18</f>
        <v>CAD</v>
      </c>
      <c r="C5" s="3" t="str">
        <f>Inputs!$E$18</f>
        <v>CAD</v>
      </c>
      <c r="D5" s="3" t="str">
        <f>Inputs!$E$18</f>
        <v>CAD</v>
      </c>
      <c r="E5" s="3" t="str">
        <f>Inputs!$E$18</f>
        <v>CAD</v>
      </c>
      <c r="F5" s="3" t="str">
        <f>Inputs!$E$18</f>
        <v>CAD</v>
      </c>
      <c r="G5" s="3" t="str">
        <f>Inputs!$E$18</f>
        <v>CAD</v>
      </c>
      <c r="H5" s="3" t="str">
        <f>Inputs!$E$18</f>
        <v>CAD</v>
      </c>
      <c r="I5" s="3" t="str">
        <f>Inputs!$E$18</f>
        <v>CAD</v>
      </c>
      <c r="J5" s="3" t="str">
        <f>Inputs!$E$18</f>
        <v>CAD</v>
      </c>
      <c r="K5" s="3" t="str">
        <f>Inputs!$E$18</f>
        <v>CAD</v>
      </c>
      <c r="L5" s="3" t="str">
        <f>Inputs!$E$18</f>
        <v>CAD</v>
      </c>
      <c r="M5" s="3" t="str">
        <f>Inputs!$E$18</f>
        <v>CAD</v>
      </c>
      <c r="N5" s="3" t="str">
        <f>Inputs!$E$18</f>
        <v>CAD</v>
      </c>
      <c r="O5" s="3" t="str">
        <f>Inputs!$E$18</f>
        <v>CAD</v>
      </c>
      <c r="P5" s="3" t="str">
        <f>Inputs!$E$18</f>
        <v>CAD</v>
      </c>
      <c r="Q5" s="3" t="str">
        <f>Inputs!$E$18</f>
        <v>CAD</v>
      </c>
      <c r="R5" s="3" t="str">
        <f>Inputs!$E$18</f>
        <v>CAD</v>
      </c>
      <c r="S5" s="3" t="str">
        <f>Inputs!$E$18</f>
        <v>CAD</v>
      </c>
      <c r="T5" s="3" t="str">
        <f>Inputs!$E$18</f>
        <v>CAD</v>
      </c>
      <c r="U5" s="3" t="str">
        <f>Inputs!$E$18</f>
        <v>CAD</v>
      </c>
      <c r="V5" s="3" t="str">
        <f>Inputs!$E$18</f>
        <v>CAD</v>
      </c>
      <c r="W5" s="3" t="str">
        <f>Inputs!$E$18</f>
        <v>CAD</v>
      </c>
      <c r="X5" s="3" t="str">
        <f>Inputs!$E$18</f>
        <v>CAD</v>
      </c>
      <c r="Y5" s="3" t="str">
        <f>Inputs!$E$18</f>
        <v>CAD</v>
      </c>
    </row>
    <row r="6" spans="1:25" x14ac:dyDescent="0.3">
      <c r="A6" s="3"/>
      <c r="B6" s="3"/>
      <c r="C6" s="3"/>
      <c r="D6" s="3"/>
      <c r="E6" s="3"/>
      <c r="F6" s="3"/>
      <c r="G6" s="3"/>
      <c r="H6" s="3"/>
      <c r="I6" s="3"/>
      <c r="J6" s="3"/>
      <c r="K6" s="3"/>
      <c r="L6" s="3"/>
      <c r="M6" s="3"/>
      <c r="N6" s="3"/>
      <c r="O6" s="3"/>
      <c r="P6" s="3"/>
      <c r="Q6" s="3"/>
      <c r="R6" s="3"/>
      <c r="S6" s="3"/>
      <c r="T6" s="3"/>
      <c r="U6" s="3"/>
      <c r="V6" s="3"/>
      <c r="W6" s="3"/>
      <c r="X6" s="3"/>
      <c r="Y6" s="3"/>
    </row>
    <row r="7" spans="1:25" x14ac:dyDescent="0.3">
      <c r="A7" s="3"/>
      <c r="B7" s="15"/>
      <c r="C7" s="15"/>
      <c r="D7" s="15"/>
      <c r="E7" s="15"/>
      <c r="F7" s="15"/>
      <c r="G7" s="15"/>
      <c r="H7" s="3"/>
      <c r="I7" s="3"/>
      <c r="J7" s="3"/>
      <c r="K7" s="3"/>
      <c r="L7" s="3"/>
      <c r="M7" s="3"/>
      <c r="N7" s="3"/>
      <c r="O7" s="3"/>
      <c r="P7" s="3"/>
      <c r="Q7" s="3"/>
      <c r="R7" s="3"/>
      <c r="S7" s="3"/>
      <c r="T7" s="3"/>
      <c r="U7" s="3"/>
      <c r="V7" s="3"/>
      <c r="W7" s="3"/>
      <c r="X7" s="3"/>
      <c r="Y7" s="3"/>
    </row>
    <row r="8" spans="1:25" x14ac:dyDescent="0.3">
      <c r="A8" s="8" t="s">
        <v>267</v>
      </c>
      <c r="B8" s="10"/>
      <c r="C8" s="10"/>
      <c r="D8" s="10"/>
      <c r="E8" s="10"/>
      <c r="F8" s="10"/>
      <c r="G8" s="10"/>
      <c r="H8" s="10"/>
      <c r="I8" s="10"/>
      <c r="J8" s="10"/>
      <c r="K8" s="10"/>
      <c r="L8" s="10"/>
      <c r="M8" s="10"/>
      <c r="N8" s="10"/>
      <c r="O8" s="10"/>
      <c r="P8" s="10"/>
      <c r="Q8" s="10"/>
      <c r="R8" s="10"/>
      <c r="S8" s="10"/>
      <c r="T8" s="10"/>
      <c r="U8" s="10"/>
      <c r="V8" s="10"/>
      <c r="W8" s="10"/>
      <c r="X8" s="10"/>
      <c r="Y8" s="10"/>
    </row>
    <row r="9" spans="1:25" x14ac:dyDescent="0.3">
      <c r="A9" s="85" t="s">
        <v>615</v>
      </c>
      <c r="B9" s="21">
        <f>'Interim Inc Statement Reported'!B8</f>
        <v>2786</v>
      </c>
      <c r="C9" s="21">
        <f>'Interim Inc Statement Reported'!C8</f>
        <v>3082</v>
      </c>
      <c r="D9" s="21">
        <f>'Interim Inc Statement Reported'!D8</f>
        <v>3716</v>
      </c>
      <c r="E9" s="21">
        <f>'Interim Inc Statement Reported'!E8</f>
        <v>2836</v>
      </c>
      <c r="F9" s="21">
        <f>'Interim Inc Statement Reported'!F8</f>
        <v>2864</v>
      </c>
      <c r="G9" s="21">
        <f>'Interim Inc Statement Reported'!G8</f>
        <v>3143</v>
      </c>
      <c r="H9" s="21">
        <f>'Interim Inc Statement Reported'!H8</f>
        <v>4106</v>
      </c>
      <c r="I9" s="21">
        <f>'Interim Inc Statement Reported'!I8</f>
        <v>3035</v>
      </c>
      <c r="J9" s="21">
        <f>'Interim Inc Statement Reported'!J8</f>
        <v>3095</v>
      </c>
      <c r="K9" s="21">
        <f>'Interim Inc Statement Reported'!K8</f>
        <v>3517</v>
      </c>
      <c r="L9" s="21">
        <f>'Interim Inc Statement Reported'!L8</f>
        <v>4478</v>
      </c>
      <c r="M9" s="21">
        <f>'Interim Inc Statement Reported'!M8</f>
        <v>3381</v>
      </c>
      <c r="N9" s="21">
        <f>'Interim Inc Statement Reported'!N8</f>
        <v>3489</v>
      </c>
      <c r="O9" s="21">
        <f>'Interim Inc Statement Reported'!O8</f>
        <v>3921</v>
      </c>
      <c r="P9" s="21">
        <f>'Interim Inc Statement Reported'!P8</f>
        <v>5018</v>
      </c>
      <c r="Q9" s="21">
        <f>'Interim Inc Statement Reported'!Q8</f>
        <v>3795</v>
      </c>
      <c r="R9" s="21">
        <f>'Interim Inc Statement Reported'!R8</f>
        <v>3816</v>
      </c>
      <c r="S9" s="21">
        <f>'Interim Inc Statement Reported'!S8</f>
        <v>4338</v>
      </c>
      <c r="T9" s="21">
        <f>'Interim Inc Statement Reported'!T8</f>
        <v>5164</v>
      </c>
      <c r="U9" s="21">
        <f>'Interim Inc Statement Reported'!U8</f>
        <v>3914</v>
      </c>
      <c r="V9" s="21">
        <f>'Interim Inc Statement Reported'!V8</f>
        <v>3193</v>
      </c>
      <c r="W9" s="21">
        <f>'Interim Inc Statement Reported'!W8</f>
        <v>207</v>
      </c>
      <c r="X9" s="21">
        <f>'Interim Inc Statement Reported'!X8</f>
        <v>507</v>
      </c>
      <c r="Y9" s="21">
        <f>'Interim Inc Statement Reported'!Y8</f>
        <v>475</v>
      </c>
    </row>
    <row r="10" spans="1:25" x14ac:dyDescent="0.3">
      <c r="A10" s="85" t="s">
        <v>0</v>
      </c>
      <c r="B10" s="2"/>
      <c r="C10" s="2"/>
      <c r="D10" s="2"/>
      <c r="E10" s="2"/>
      <c r="F10" s="2"/>
      <c r="G10" s="2"/>
      <c r="H10" s="2"/>
      <c r="I10" s="2"/>
      <c r="J10" s="2"/>
      <c r="K10" s="2"/>
      <c r="L10" s="2"/>
      <c r="M10" s="2"/>
      <c r="N10" s="2"/>
      <c r="O10" s="2"/>
      <c r="P10" s="2"/>
      <c r="Q10" s="2"/>
      <c r="R10" s="2"/>
      <c r="S10" s="2"/>
      <c r="T10" s="2"/>
      <c r="U10" s="2"/>
      <c r="V10" s="2"/>
      <c r="W10" s="2"/>
      <c r="X10" s="2"/>
      <c r="Y10" s="2"/>
    </row>
    <row r="11" spans="1:25" x14ac:dyDescent="0.3">
      <c r="A11" s="85" t="s">
        <v>614</v>
      </c>
      <c r="B11" s="21">
        <f>'Interim Inc Statement Reported'!B9</f>
        <v>0</v>
      </c>
      <c r="C11" s="21">
        <f>'Interim Inc Statement Reported'!C9</f>
        <v>0</v>
      </c>
      <c r="D11" s="21">
        <f>'Interim Inc Statement Reported'!D9</f>
        <v>0</v>
      </c>
      <c r="E11" s="21">
        <f>'Interim Inc Statement Reported'!E9</f>
        <v>0</v>
      </c>
      <c r="F11" s="21">
        <f>'Interim Inc Statement Reported'!F9</f>
        <v>0</v>
      </c>
      <c r="G11" s="21">
        <f>'Interim Inc Statement Reported'!G9</f>
        <v>0</v>
      </c>
      <c r="H11" s="21">
        <f>'Interim Inc Statement Reported'!H9</f>
        <v>0</v>
      </c>
      <c r="I11" s="21">
        <f>'Interim Inc Statement Reported'!I9</f>
        <v>0</v>
      </c>
      <c r="J11" s="21">
        <f>'Interim Inc Statement Reported'!J9</f>
        <v>0</v>
      </c>
      <c r="K11" s="21">
        <f>'Interim Inc Statement Reported'!K9</f>
        <v>0</v>
      </c>
      <c r="L11" s="21">
        <f>'Interim Inc Statement Reported'!L9</f>
        <v>0</v>
      </c>
      <c r="M11" s="21">
        <f>'Interim Inc Statement Reported'!M9</f>
        <v>0</v>
      </c>
      <c r="N11" s="21">
        <f>'Interim Inc Statement Reported'!N9</f>
        <v>0</v>
      </c>
      <c r="O11" s="21">
        <f>'Interim Inc Statement Reported'!O9</f>
        <v>0</v>
      </c>
      <c r="P11" s="21">
        <f>'Interim Inc Statement Reported'!P9</f>
        <v>0</v>
      </c>
      <c r="Q11" s="21">
        <f>'Interim Inc Statement Reported'!Q9</f>
        <v>0</v>
      </c>
      <c r="R11" s="21">
        <f>'Interim Inc Statement Reported'!R9</f>
        <v>0</v>
      </c>
      <c r="S11" s="21">
        <f>'Interim Inc Statement Reported'!S9</f>
        <v>0</v>
      </c>
      <c r="T11" s="21">
        <f>'Interim Inc Statement Reported'!T9</f>
        <v>0</v>
      </c>
      <c r="U11" s="21">
        <f>'Interim Inc Statement Reported'!U9</f>
        <v>0</v>
      </c>
      <c r="V11" s="21">
        <f>'Interim Inc Statement Reported'!V9</f>
        <v>0</v>
      </c>
      <c r="W11" s="21">
        <f>'Interim Inc Statement Reported'!W9</f>
        <v>0</v>
      </c>
      <c r="X11" s="21">
        <f>'Interim Inc Statement Reported'!X9</f>
        <v>0</v>
      </c>
      <c r="Y11" s="21">
        <f>'Interim Inc Statement Reported'!Y9</f>
        <v>0</v>
      </c>
    </row>
    <row r="12" spans="1:25" x14ac:dyDescent="0.3">
      <c r="A12" s="85" t="s">
        <v>0</v>
      </c>
      <c r="B12" s="2"/>
      <c r="C12" s="2"/>
      <c r="D12" s="2"/>
      <c r="E12" s="2"/>
      <c r="F12" s="2"/>
      <c r="G12" s="2"/>
      <c r="H12" s="2"/>
      <c r="I12" s="2"/>
      <c r="J12" s="2"/>
      <c r="K12" s="2"/>
      <c r="L12" s="2"/>
      <c r="M12" s="2"/>
      <c r="N12" s="2"/>
      <c r="O12" s="2"/>
      <c r="P12" s="2"/>
      <c r="Q12" s="2"/>
      <c r="R12" s="2"/>
      <c r="S12" s="2"/>
      <c r="T12" s="2"/>
      <c r="U12" s="2"/>
      <c r="V12" s="2"/>
      <c r="W12" s="2"/>
      <c r="X12" s="2"/>
      <c r="Y12" s="2"/>
    </row>
    <row r="13" spans="1:25" x14ac:dyDescent="0.3">
      <c r="A13" s="85" t="s">
        <v>12</v>
      </c>
      <c r="B13" s="21">
        <f>'Interim Inc Statement Reported'!B10</f>
        <v>129</v>
      </c>
      <c r="C13" s="21">
        <f>'Interim Inc Statement Reported'!C10</f>
        <v>123</v>
      </c>
      <c r="D13" s="21">
        <f>'Interim Inc Statement Reported'!D10</f>
        <v>119</v>
      </c>
      <c r="E13" s="21">
        <f>'Interim Inc Statement Reported'!E10</f>
        <v>135</v>
      </c>
      <c r="F13" s="21">
        <f>'Interim Inc Statement Reported'!F10</f>
        <v>116</v>
      </c>
      <c r="G13" s="21">
        <f>'Interim Inc Statement Reported'!G10</f>
        <v>111</v>
      </c>
      <c r="H13" s="21">
        <f>'Interim Inc Statement Reported'!H10</f>
        <v>130</v>
      </c>
      <c r="I13" s="21">
        <f>'Interim Inc Statement Reported'!I10</f>
        <v>155</v>
      </c>
      <c r="J13" s="21">
        <f>'Interim Inc Statement Reported'!J10</f>
        <v>134</v>
      </c>
      <c r="K13" s="21">
        <f>'Interim Inc Statement Reported'!K10</f>
        <v>154</v>
      </c>
      <c r="L13" s="21">
        <f>'Interim Inc Statement Reported'!L10</f>
        <v>179</v>
      </c>
      <c r="M13" s="21">
        <f>'Interim Inc Statement Reported'!M10</f>
        <v>183</v>
      </c>
      <c r="N13" s="21">
        <f>'Interim Inc Statement Reported'!N10</f>
        <v>168</v>
      </c>
      <c r="O13" s="21">
        <f>'Interim Inc Statement Reported'!O10</f>
        <v>200</v>
      </c>
      <c r="P13" s="21">
        <f>'Interim Inc Statement Reported'!P10</f>
        <v>218</v>
      </c>
      <c r="Q13" s="21">
        <f>'Interim Inc Statement Reported'!Q10</f>
        <v>217</v>
      </c>
      <c r="R13" s="21">
        <f>'Interim Inc Statement Reported'!R10</f>
        <v>177</v>
      </c>
      <c r="S13" s="21">
        <f>'Interim Inc Statement Reported'!S10</f>
        <v>177</v>
      </c>
      <c r="T13" s="21">
        <f>'Interim Inc Statement Reported'!T10</f>
        <v>177</v>
      </c>
      <c r="U13" s="21">
        <f>'Interim Inc Statement Reported'!U10</f>
        <v>186</v>
      </c>
      <c r="V13" s="21">
        <f>'Interim Inc Statement Reported'!V10</f>
        <v>149</v>
      </c>
      <c r="W13" s="21">
        <f>'Interim Inc Statement Reported'!W10</f>
        <v>269</v>
      </c>
      <c r="X13" s="21">
        <f>'Interim Inc Statement Reported'!X10</f>
        <v>216</v>
      </c>
      <c r="Y13" s="21">
        <f>'Interim Inc Statement Reported'!Y10</f>
        <v>286</v>
      </c>
    </row>
    <row r="14" spans="1:25" x14ac:dyDescent="0.3">
      <c r="A14" s="85" t="s">
        <v>0</v>
      </c>
      <c r="B14" s="2"/>
      <c r="C14" s="2"/>
      <c r="D14" s="2"/>
      <c r="E14" s="2"/>
      <c r="F14" s="2"/>
      <c r="G14" s="2"/>
      <c r="H14" s="2"/>
      <c r="I14" s="2"/>
      <c r="J14" s="2"/>
      <c r="K14" s="2"/>
      <c r="L14" s="2"/>
      <c r="M14" s="2"/>
      <c r="N14" s="2"/>
      <c r="O14" s="2"/>
      <c r="P14" s="2"/>
      <c r="Q14" s="2"/>
      <c r="R14" s="2"/>
      <c r="S14" s="2"/>
      <c r="T14" s="2"/>
      <c r="U14" s="2"/>
      <c r="V14" s="2"/>
      <c r="W14" s="2"/>
      <c r="X14" s="2"/>
      <c r="Y14" s="2"/>
    </row>
    <row r="15" spans="1:25" x14ac:dyDescent="0.3">
      <c r="A15" s="85" t="s">
        <v>13</v>
      </c>
      <c r="B15" s="21">
        <f>'Interim Inc Statement Reported'!B11</f>
        <v>334</v>
      </c>
      <c r="C15" s="21">
        <f>'Interim Inc Statement Reported'!C11</f>
        <v>209</v>
      </c>
      <c r="D15" s="21">
        <f>'Interim Inc Statement Reported'!D11</f>
        <v>188</v>
      </c>
      <c r="E15" s="21">
        <f>'Interim Inc Statement Reported'!E11</f>
        <v>211</v>
      </c>
      <c r="F15" s="21">
        <f>'Interim Inc Statement Reported'!F11</f>
        <v>363</v>
      </c>
      <c r="G15" s="21">
        <f>'Interim Inc Statement Reported'!G11</f>
        <v>204</v>
      </c>
      <c r="H15" s="21">
        <f>'Interim Inc Statement Reported'!H11</f>
        <v>215</v>
      </c>
      <c r="I15" s="21">
        <f>'Interim Inc Statement Reported'!I11</f>
        <v>235</v>
      </c>
      <c r="J15" s="21">
        <f>'Interim Inc Statement Reported'!J11</f>
        <v>413</v>
      </c>
      <c r="K15" s="21">
        <f>'Interim Inc Statement Reported'!K11</f>
        <v>239</v>
      </c>
      <c r="L15" s="21">
        <f>'Interim Inc Statement Reported'!L11</f>
        <v>223</v>
      </c>
      <c r="M15" s="21">
        <f>'Interim Inc Statement Reported'!M11</f>
        <v>256</v>
      </c>
      <c r="N15" s="21">
        <f>'Interim Inc Statement Reported'!N11</f>
        <v>414</v>
      </c>
      <c r="O15" s="21">
        <f>'Interim Inc Statement Reported'!O11</f>
        <v>212</v>
      </c>
      <c r="P15" s="21">
        <f>'Interim Inc Statement Reported'!P11</f>
        <v>179</v>
      </c>
      <c r="Q15" s="21">
        <f>'Interim Inc Statement Reported'!Q11</f>
        <v>234</v>
      </c>
      <c r="R15" s="21">
        <f>'Interim Inc Statement Reported'!R11</f>
        <v>460</v>
      </c>
      <c r="S15" s="21">
        <f>'Interim Inc Statement Reported'!S11</f>
        <v>242</v>
      </c>
      <c r="T15" s="21">
        <f>'Interim Inc Statement Reported'!T11</f>
        <v>212</v>
      </c>
      <c r="U15" s="21">
        <f>'Interim Inc Statement Reported'!U11</f>
        <v>268</v>
      </c>
      <c r="V15" s="21">
        <f>'Interim Inc Statement Reported'!V11</f>
        <v>380</v>
      </c>
      <c r="W15" s="21">
        <f>'Interim Inc Statement Reported'!W11</f>
        <v>51</v>
      </c>
      <c r="X15" s="21">
        <f>'Interim Inc Statement Reported'!X11</f>
        <v>34</v>
      </c>
      <c r="Y15" s="21">
        <f>'Interim Inc Statement Reported'!Y11</f>
        <v>66</v>
      </c>
    </row>
    <row r="16" spans="1:25" x14ac:dyDescent="0.3">
      <c r="A16" s="85" t="s">
        <v>0</v>
      </c>
      <c r="B16" s="2"/>
      <c r="C16" s="2"/>
      <c r="D16" s="2"/>
      <c r="E16" s="2"/>
      <c r="F16" s="2"/>
      <c r="G16" s="2"/>
      <c r="H16" s="2"/>
      <c r="I16" s="2"/>
      <c r="J16" s="2"/>
      <c r="K16" s="2"/>
      <c r="L16" s="2"/>
      <c r="M16" s="2"/>
      <c r="N16" s="2"/>
      <c r="O16" s="2"/>
      <c r="P16" s="2"/>
      <c r="Q16" s="2"/>
      <c r="R16" s="2"/>
      <c r="S16" s="2"/>
      <c r="T16" s="2"/>
      <c r="U16" s="2"/>
      <c r="V16" s="2"/>
      <c r="W16" s="2"/>
      <c r="X16" s="2"/>
      <c r="Y16" s="2"/>
    </row>
    <row r="17" spans="1:25" x14ac:dyDescent="0.3">
      <c r="A17" s="85" t="s">
        <v>5</v>
      </c>
      <c r="B17" s="21">
        <f>B13+B15</f>
        <v>463</v>
      </c>
      <c r="C17" s="21">
        <f t="shared" ref="C17:Q17" si="0">C13+C15</f>
        <v>332</v>
      </c>
      <c r="D17" s="21">
        <f t="shared" si="0"/>
        <v>307</v>
      </c>
      <c r="E17" s="21">
        <f t="shared" si="0"/>
        <v>346</v>
      </c>
      <c r="F17" s="21">
        <f t="shared" si="0"/>
        <v>479</v>
      </c>
      <c r="G17" s="21">
        <f t="shared" si="0"/>
        <v>315</v>
      </c>
      <c r="H17" s="21">
        <f t="shared" si="0"/>
        <v>345</v>
      </c>
      <c r="I17" s="21">
        <f t="shared" si="0"/>
        <v>390</v>
      </c>
      <c r="J17" s="21">
        <f t="shared" si="0"/>
        <v>547</v>
      </c>
      <c r="K17" s="21">
        <f t="shared" si="0"/>
        <v>393</v>
      </c>
      <c r="L17" s="21">
        <f t="shared" si="0"/>
        <v>402</v>
      </c>
      <c r="M17" s="21">
        <f t="shared" si="0"/>
        <v>439</v>
      </c>
      <c r="N17" s="21">
        <f t="shared" si="0"/>
        <v>582</v>
      </c>
      <c r="O17" s="21">
        <f t="shared" si="0"/>
        <v>412</v>
      </c>
      <c r="P17" s="21">
        <f t="shared" si="0"/>
        <v>397</v>
      </c>
      <c r="Q17" s="21">
        <f t="shared" si="0"/>
        <v>451</v>
      </c>
      <c r="R17" s="21">
        <f t="shared" ref="R17:U17" si="1">R13+R15</f>
        <v>637</v>
      </c>
      <c r="S17" s="21">
        <f t="shared" si="1"/>
        <v>419</v>
      </c>
      <c r="T17" s="21">
        <f t="shared" si="1"/>
        <v>389</v>
      </c>
      <c r="U17" s="21">
        <f t="shared" si="1"/>
        <v>454</v>
      </c>
      <c r="V17" s="21">
        <f t="shared" ref="V17:Y17" si="2">V13+V15</f>
        <v>529</v>
      </c>
      <c r="W17" s="21">
        <f t="shared" si="2"/>
        <v>320</v>
      </c>
      <c r="X17" s="21">
        <f t="shared" si="2"/>
        <v>250</v>
      </c>
      <c r="Y17" s="21">
        <f t="shared" si="2"/>
        <v>352</v>
      </c>
    </row>
    <row r="18" spans="1:25" x14ac:dyDescent="0.3">
      <c r="A18" s="85" t="s">
        <v>0</v>
      </c>
      <c r="B18" s="2"/>
      <c r="C18" s="2"/>
      <c r="D18" s="2"/>
      <c r="E18" s="2"/>
      <c r="F18" s="2"/>
      <c r="G18" s="2"/>
      <c r="H18" s="2"/>
      <c r="I18" s="2"/>
      <c r="J18" s="2"/>
      <c r="K18" s="2"/>
      <c r="L18" s="2"/>
      <c r="M18" s="2"/>
      <c r="N18" s="2"/>
      <c r="O18" s="2"/>
      <c r="P18" s="2"/>
      <c r="Q18" s="2"/>
      <c r="R18" s="2"/>
      <c r="S18" s="2"/>
      <c r="T18" s="2"/>
      <c r="U18" s="2"/>
      <c r="V18" s="2"/>
      <c r="W18" s="2"/>
      <c r="X18" s="2"/>
      <c r="Y18" s="2"/>
    </row>
    <row r="19" spans="1:25" x14ac:dyDescent="0.3">
      <c r="A19" s="14" t="s">
        <v>14</v>
      </c>
      <c r="B19" s="6">
        <f>'Interim Inc Statement Reported'!B13</f>
        <v>3249</v>
      </c>
      <c r="C19" s="6">
        <f>'Interim Inc Statement Reported'!C13</f>
        <v>3414</v>
      </c>
      <c r="D19" s="6">
        <f>'Interim Inc Statement Reported'!D13</f>
        <v>4023</v>
      </c>
      <c r="E19" s="6">
        <f>'Interim Inc Statement Reported'!E13</f>
        <v>3182</v>
      </c>
      <c r="F19" s="6">
        <f>'Interim Inc Statement Reported'!F13</f>
        <v>3343</v>
      </c>
      <c r="G19" s="6">
        <f>'Interim Inc Statement Reported'!G13</f>
        <v>3458</v>
      </c>
      <c r="H19" s="6">
        <f>'Interim Inc Statement Reported'!H13</f>
        <v>4451</v>
      </c>
      <c r="I19" s="6">
        <f>'Interim Inc Statement Reported'!I13</f>
        <v>3425</v>
      </c>
      <c r="J19" s="6">
        <f>'Interim Inc Statement Reported'!J13</f>
        <v>3642</v>
      </c>
      <c r="K19" s="6">
        <f>'Interim Inc Statement Reported'!K13</f>
        <v>3910</v>
      </c>
      <c r="L19" s="6">
        <f>'Interim Inc Statement Reported'!L13</f>
        <v>4880</v>
      </c>
      <c r="M19" s="6">
        <f>'Interim Inc Statement Reported'!M13</f>
        <v>3820</v>
      </c>
      <c r="N19" s="6">
        <f>'Interim Inc Statement Reported'!N13</f>
        <v>4071</v>
      </c>
      <c r="O19" s="6">
        <f>'Interim Inc Statement Reported'!O13</f>
        <v>4333</v>
      </c>
      <c r="P19" s="6">
        <f>'Interim Inc Statement Reported'!P13</f>
        <v>5415</v>
      </c>
      <c r="Q19" s="6">
        <f>'Interim Inc Statement Reported'!Q13</f>
        <v>4246</v>
      </c>
      <c r="R19" s="6">
        <f>'Interim Inc Statement Reported'!R13</f>
        <v>4453</v>
      </c>
      <c r="S19" s="6">
        <f>'Interim Inc Statement Reported'!S13</f>
        <v>4757</v>
      </c>
      <c r="T19" s="6">
        <f>'Interim Inc Statement Reported'!T13</f>
        <v>5553</v>
      </c>
      <c r="U19" s="6">
        <f>'Interim Inc Statement Reported'!U13</f>
        <v>4368</v>
      </c>
      <c r="V19" s="6">
        <f>'Interim Inc Statement Reported'!V13</f>
        <v>3722</v>
      </c>
      <c r="W19" s="6">
        <f>'Interim Inc Statement Reported'!W13</f>
        <v>527</v>
      </c>
      <c r="X19" s="6">
        <f>'Interim Inc Statement Reported'!X13</f>
        <v>757</v>
      </c>
      <c r="Y19" s="6">
        <f>'Interim Inc Statement Reported'!Y13</f>
        <v>827</v>
      </c>
    </row>
    <row r="20" spans="1:25" x14ac:dyDescent="0.3">
      <c r="A20" s="85" t="s">
        <v>0</v>
      </c>
      <c r="B20" s="2"/>
      <c r="C20" s="2"/>
      <c r="D20" s="2"/>
      <c r="E20" s="2"/>
      <c r="F20" s="2"/>
      <c r="G20" s="2"/>
      <c r="H20" s="2"/>
      <c r="I20" s="2"/>
      <c r="J20" s="2"/>
      <c r="K20" s="2"/>
      <c r="L20" s="2"/>
      <c r="M20" s="2"/>
      <c r="N20" s="2"/>
      <c r="O20" s="2"/>
      <c r="P20" s="2"/>
      <c r="Q20" s="2"/>
      <c r="R20" s="2"/>
      <c r="S20" s="2"/>
      <c r="T20" s="2"/>
      <c r="U20" s="2"/>
      <c r="V20" s="2"/>
      <c r="W20" s="2"/>
      <c r="X20" s="2"/>
      <c r="Y20" s="2"/>
    </row>
    <row r="21" spans="1:25" x14ac:dyDescent="0.3">
      <c r="A21" s="8" t="s">
        <v>259</v>
      </c>
      <c r="B21" s="10"/>
      <c r="C21" s="10"/>
      <c r="D21" s="10"/>
      <c r="E21" s="10"/>
      <c r="F21" s="10"/>
      <c r="G21" s="10"/>
      <c r="H21" s="10"/>
      <c r="I21" s="10"/>
      <c r="J21" s="10"/>
      <c r="K21" s="10"/>
      <c r="L21" s="10"/>
      <c r="M21" s="10"/>
      <c r="N21" s="10"/>
      <c r="O21" s="10"/>
      <c r="P21" s="10"/>
      <c r="Q21" s="10"/>
      <c r="R21" s="10"/>
      <c r="S21" s="10"/>
      <c r="T21" s="10"/>
      <c r="U21" s="10"/>
      <c r="V21" s="10"/>
      <c r="W21" s="10"/>
      <c r="X21" s="10"/>
      <c r="Y21" s="10"/>
    </row>
    <row r="22" spans="1:25" x14ac:dyDescent="0.3">
      <c r="A22" s="85" t="s">
        <v>615</v>
      </c>
      <c r="B22" s="2">
        <f>IFERROR(B9/B$19, "N/A")</f>
        <v>0.85749461372730074</v>
      </c>
      <c r="C22" s="2">
        <f t="shared" ref="C22:Q22" si="3">IFERROR(C9/C$19, "N/A")</f>
        <v>0.90275336848271825</v>
      </c>
      <c r="D22" s="2">
        <f t="shared" si="3"/>
        <v>0.92368878946060151</v>
      </c>
      <c r="E22" s="2">
        <f t="shared" si="3"/>
        <v>0.8912633563796355</v>
      </c>
      <c r="F22" s="2">
        <f t="shared" si="3"/>
        <v>0.85671552497756509</v>
      </c>
      <c r="G22" s="2">
        <f t="shared" si="3"/>
        <v>0.90890688259109309</v>
      </c>
      <c r="H22" s="2">
        <f t="shared" si="3"/>
        <v>0.92248932824084473</v>
      </c>
      <c r="I22" s="2">
        <f t="shared" si="3"/>
        <v>0.88613138686131387</v>
      </c>
      <c r="J22" s="2">
        <f t="shared" si="3"/>
        <v>0.84980779791323446</v>
      </c>
      <c r="K22" s="2">
        <f t="shared" si="3"/>
        <v>0.8994884910485933</v>
      </c>
      <c r="L22" s="2">
        <f t="shared" si="3"/>
        <v>0.91762295081967216</v>
      </c>
      <c r="M22" s="2">
        <f t="shared" si="3"/>
        <v>0.88507853403141357</v>
      </c>
      <c r="N22" s="2">
        <f t="shared" si="3"/>
        <v>0.85703758290346355</v>
      </c>
      <c r="O22" s="2">
        <f t="shared" si="3"/>
        <v>0.90491576275098085</v>
      </c>
      <c r="P22" s="2">
        <f t="shared" si="3"/>
        <v>0.92668513388734997</v>
      </c>
      <c r="Q22" s="2">
        <f t="shared" si="3"/>
        <v>0.89378238341968907</v>
      </c>
      <c r="R22" s="2">
        <f t="shared" ref="R22:U22" si="4">IFERROR(R9/R$19, "N/A")</f>
        <v>0.85695037053671685</v>
      </c>
      <c r="S22" s="2">
        <f t="shared" si="4"/>
        <v>0.91191927685516083</v>
      </c>
      <c r="T22" s="2">
        <f t="shared" si="4"/>
        <v>0.92994777597694944</v>
      </c>
      <c r="U22" s="2">
        <f t="shared" si="4"/>
        <v>0.8960622710622711</v>
      </c>
      <c r="V22" s="2">
        <f t="shared" ref="V22:Y22" si="5">IFERROR(V9/V$19, "N/A")</f>
        <v>0.85787211176786671</v>
      </c>
      <c r="W22" s="2">
        <f t="shared" si="5"/>
        <v>0.39278937381404172</v>
      </c>
      <c r="X22" s="2">
        <f t="shared" si="5"/>
        <v>0.66974900924702774</v>
      </c>
      <c r="Y22" s="2">
        <f t="shared" si="5"/>
        <v>0.57436517533252718</v>
      </c>
    </row>
    <row r="23" spans="1:25" x14ac:dyDescent="0.3">
      <c r="A23" s="85" t="s">
        <v>614</v>
      </c>
      <c r="B23" s="2">
        <f>IFERROR(B11/B$19, "N/A")</f>
        <v>0</v>
      </c>
      <c r="C23" s="2">
        <f t="shared" ref="C23:Q23" si="6">IFERROR(C11/C$19, "N/A")</f>
        <v>0</v>
      </c>
      <c r="D23" s="2">
        <f t="shared" si="6"/>
        <v>0</v>
      </c>
      <c r="E23" s="2">
        <f t="shared" si="6"/>
        <v>0</v>
      </c>
      <c r="F23" s="2">
        <f t="shared" si="6"/>
        <v>0</v>
      </c>
      <c r="G23" s="2">
        <f t="shared" si="6"/>
        <v>0</v>
      </c>
      <c r="H23" s="2">
        <f t="shared" si="6"/>
        <v>0</v>
      </c>
      <c r="I23" s="2">
        <f t="shared" si="6"/>
        <v>0</v>
      </c>
      <c r="J23" s="2">
        <f t="shared" si="6"/>
        <v>0</v>
      </c>
      <c r="K23" s="2">
        <f t="shared" si="6"/>
        <v>0</v>
      </c>
      <c r="L23" s="2">
        <f t="shared" si="6"/>
        <v>0</v>
      </c>
      <c r="M23" s="2">
        <f t="shared" si="6"/>
        <v>0</v>
      </c>
      <c r="N23" s="2">
        <f t="shared" si="6"/>
        <v>0</v>
      </c>
      <c r="O23" s="2">
        <f t="shared" si="6"/>
        <v>0</v>
      </c>
      <c r="P23" s="2">
        <f t="shared" si="6"/>
        <v>0</v>
      </c>
      <c r="Q23" s="2">
        <f t="shared" si="6"/>
        <v>0</v>
      </c>
      <c r="R23" s="2">
        <f t="shared" ref="R23:U23" si="7">IFERROR(R11/R$19, "N/A")</f>
        <v>0</v>
      </c>
      <c r="S23" s="2">
        <f t="shared" si="7"/>
        <v>0</v>
      </c>
      <c r="T23" s="2">
        <f t="shared" si="7"/>
        <v>0</v>
      </c>
      <c r="U23" s="2">
        <f t="shared" si="7"/>
        <v>0</v>
      </c>
      <c r="V23" s="2">
        <f t="shared" ref="V23:Y23" si="8">IFERROR(V11/V$19, "N/A")</f>
        <v>0</v>
      </c>
      <c r="W23" s="2">
        <f t="shared" si="8"/>
        <v>0</v>
      </c>
      <c r="X23" s="2">
        <f t="shared" si="8"/>
        <v>0</v>
      </c>
      <c r="Y23" s="2">
        <f t="shared" si="8"/>
        <v>0</v>
      </c>
    </row>
    <row r="24" spans="1:25" x14ac:dyDescent="0.3">
      <c r="A24" s="85" t="s">
        <v>265</v>
      </c>
      <c r="B24" s="2">
        <f>IFERROR(B13/B$19, "N/A")</f>
        <v>3.9704524469067408E-2</v>
      </c>
      <c r="C24" s="2">
        <f t="shared" ref="C24:Q24" si="9">IFERROR(C13/C$19, "N/A")</f>
        <v>3.6028119507908608E-2</v>
      </c>
      <c r="D24" s="2">
        <f t="shared" si="9"/>
        <v>2.9579915485955753E-2</v>
      </c>
      <c r="E24" s="2">
        <f t="shared" si="9"/>
        <v>4.2426147077309871E-2</v>
      </c>
      <c r="F24" s="2">
        <f t="shared" si="9"/>
        <v>3.4699371821717021E-2</v>
      </c>
      <c r="G24" s="2">
        <f t="shared" si="9"/>
        <v>3.2099479467900517E-2</v>
      </c>
      <c r="H24" s="2">
        <f t="shared" si="9"/>
        <v>2.9206919793304875E-2</v>
      </c>
      <c r="I24" s="2">
        <f t="shared" si="9"/>
        <v>4.5255474452554748E-2</v>
      </c>
      <c r="J24" s="2">
        <f t="shared" si="9"/>
        <v>3.6792970895112576E-2</v>
      </c>
      <c r="K24" s="2">
        <f t="shared" si="9"/>
        <v>3.938618925831202E-2</v>
      </c>
      <c r="L24" s="2">
        <f t="shared" si="9"/>
        <v>3.6680327868852461E-2</v>
      </c>
      <c r="M24" s="2">
        <f t="shared" si="9"/>
        <v>4.7905759162303663E-2</v>
      </c>
      <c r="N24" s="2">
        <f t="shared" si="9"/>
        <v>4.1267501842299187E-2</v>
      </c>
      <c r="O24" s="2">
        <f t="shared" si="9"/>
        <v>4.6157396722824831E-2</v>
      </c>
      <c r="P24" s="2">
        <f t="shared" si="9"/>
        <v>4.0258541089566023E-2</v>
      </c>
      <c r="Q24" s="2">
        <f t="shared" si="9"/>
        <v>5.1106924163918981E-2</v>
      </c>
      <c r="R24" s="2">
        <f t="shared" ref="R24:U24" si="10">IFERROR(R13/R$19, "N/A")</f>
        <v>3.9748484167976647E-2</v>
      </c>
      <c r="S24" s="2">
        <f t="shared" si="10"/>
        <v>3.7208324574311544E-2</v>
      </c>
      <c r="T24" s="2">
        <f t="shared" si="10"/>
        <v>3.1874662344678555E-2</v>
      </c>
      <c r="U24" s="2">
        <f t="shared" si="10"/>
        <v>4.2582417582417584E-2</v>
      </c>
      <c r="V24" s="2">
        <f t="shared" ref="V24:Y24" si="11">IFERROR(V13/V$19, "N/A")</f>
        <v>4.0032240730789898E-2</v>
      </c>
      <c r="W24" s="2">
        <f t="shared" si="11"/>
        <v>0.5104364326375711</v>
      </c>
      <c r="X24" s="2">
        <f t="shared" si="11"/>
        <v>0.28533685601056802</v>
      </c>
      <c r="Y24" s="2">
        <f t="shared" si="11"/>
        <v>0.34582829504232165</v>
      </c>
    </row>
    <row r="25" spans="1:25" x14ac:dyDescent="0.3">
      <c r="A25" s="85" t="s">
        <v>264</v>
      </c>
      <c r="B25" s="2">
        <f>IFERROR(B15/B$19, "N/A")</f>
        <v>0.10280086180363189</v>
      </c>
      <c r="C25" s="2">
        <f t="shared" ref="C25:Q25" si="12">IFERROR(C15/C$19, "N/A")</f>
        <v>6.1218512009373172E-2</v>
      </c>
      <c r="D25" s="2">
        <f t="shared" si="12"/>
        <v>4.6731295053442708E-2</v>
      </c>
      <c r="E25" s="2">
        <f t="shared" si="12"/>
        <v>6.6310496543054681E-2</v>
      </c>
      <c r="F25" s="2">
        <f t="shared" si="12"/>
        <v>0.10858510320071792</v>
      </c>
      <c r="G25" s="2">
        <f t="shared" si="12"/>
        <v>5.8993637941006365E-2</v>
      </c>
      <c r="H25" s="2">
        <f t="shared" si="12"/>
        <v>4.8303751965850371E-2</v>
      </c>
      <c r="I25" s="2">
        <f t="shared" si="12"/>
        <v>6.8613138686131392E-2</v>
      </c>
      <c r="J25" s="2">
        <f t="shared" si="12"/>
        <v>0.11339923119165293</v>
      </c>
      <c r="K25" s="2">
        <f t="shared" si="12"/>
        <v>6.1125319693094628E-2</v>
      </c>
      <c r="L25" s="2">
        <f t="shared" si="12"/>
        <v>4.5696721311475411E-2</v>
      </c>
      <c r="M25" s="2">
        <f t="shared" si="12"/>
        <v>6.7015706806282729E-2</v>
      </c>
      <c r="N25" s="2">
        <f t="shared" si="12"/>
        <v>0.10169491525423729</v>
      </c>
      <c r="O25" s="2">
        <f t="shared" si="12"/>
        <v>4.8926840526194323E-2</v>
      </c>
      <c r="P25" s="2">
        <f t="shared" si="12"/>
        <v>3.3056325023084025E-2</v>
      </c>
      <c r="Q25" s="2">
        <f t="shared" si="12"/>
        <v>5.5110692416391896E-2</v>
      </c>
      <c r="R25" s="2">
        <f t="shared" ref="R25:U25" si="13">IFERROR(R15/R$19, "N/A")</f>
        <v>0.10330114529530654</v>
      </c>
      <c r="S25" s="2">
        <f t="shared" si="13"/>
        <v>5.0872398570527645E-2</v>
      </c>
      <c r="T25" s="2">
        <f t="shared" si="13"/>
        <v>3.8177561678372052E-2</v>
      </c>
      <c r="U25" s="2">
        <f t="shared" si="13"/>
        <v>6.1355311355311352E-2</v>
      </c>
      <c r="V25" s="2">
        <f t="shared" ref="V25:Y25" si="14">IFERROR(V15/V$19, "N/A")</f>
        <v>0.10209564750134337</v>
      </c>
      <c r="W25" s="2">
        <f t="shared" si="14"/>
        <v>9.6774193548387094E-2</v>
      </c>
      <c r="X25" s="2">
        <f t="shared" si="14"/>
        <v>4.491413474240423E-2</v>
      </c>
      <c r="Y25" s="2">
        <f t="shared" si="14"/>
        <v>7.9806529625151154E-2</v>
      </c>
    </row>
    <row r="26" spans="1:25" x14ac:dyDescent="0.3">
      <c r="A26" s="85" t="s">
        <v>263</v>
      </c>
      <c r="B26" s="2">
        <f>IFERROR(B17/B$19, "N/A")</f>
        <v>0.14250538627269929</v>
      </c>
      <c r="C26" s="2">
        <f t="shared" ref="C26:Q26" si="15">IFERROR(C17/C$19, "N/A")</f>
        <v>9.7246631517281787E-2</v>
      </c>
      <c r="D26" s="2">
        <f t="shared" si="15"/>
        <v>7.6311210539398461E-2</v>
      </c>
      <c r="E26" s="2">
        <f t="shared" si="15"/>
        <v>0.10873664362036455</v>
      </c>
      <c r="F26" s="2">
        <f t="shared" si="15"/>
        <v>0.14328447502243494</v>
      </c>
      <c r="G26" s="2">
        <f t="shared" si="15"/>
        <v>9.1093117408906882E-2</v>
      </c>
      <c r="H26" s="2">
        <f t="shared" si="15"/>
        <v>7.7510671759155242E-2</v>
      </c>
      <c r="I26" s="2">
        <f t="shared" si="15"/>
        <v>0.11386861313868613</v>
      </c>
      <c r="J26" s="2">
        <f t="shared" si="15"/>
        <v>0.15019220208676551</v>
      </c>
      <c r="K26" s="2">
        <f t="shared" si="15"/>
        <v>0.10051150895140665</v>
      </c>
      <c r="L26" s="2">
        <f t="shared" si="15"/>
        <v>8.2377049180327871E-2</v>
      </c>
      <c r="M26" s="2">
        <f t="shared" si="15"/>
        <v>0.11492146596858639</v>
      </c>
      <c r="N26" s="2">
        <f t="shared" si="15"/>
        <v>0.14296241709653648</v>
      </c>
      <c r="O26" s="2">
        <f t="shared" si="15"/>
        <v>9.5084237249019155E-2</v>
      </c>
      <c r="P26" s="2">
        <f t="shared" si="15"/>
        <v>7.3314866112650048E-2</v>
      </c>
      <c r="Q26" s="2">
        <f t="shared" si="15"/>
        <v>0.10621761658031088</v>
      </c>
      <c r="R26" s="2">
        <f t="shared" ref="R26:U26" si="16">IFERROR(R17/R$19, "N/A")</f>
        <v>0.14304962946328317</v>
      </c>
      <c r="S26" s="2">
        <f t="shared" si="16"/>
        <v>8.8080723144839182E-2</v>
      </c>
      <c r="T26" s="2">
        <f t="shared" si="16"/>
        <v>7.0052224023050599E-2</v>
      </c>
      <c r="U26" s="2">
        <f t="shared" si="16"/>
        <v>0.10393772893772894</v>
      </c>
      <c r="V26" s="2">
        <f t="shared" ref="V26:Y26" si="17">IFERROR(V17/V$19, "N/A")</f>
        <v>0.14212788823213326</v>
      </c>
      <c r="W26" s="2">
        <f t="shared" si="17"/>
        <v>0.60721062618595822</v>
      </c>
      <c r="X26" s="2">
        <f t="shared" si="17"/>
        <v>0.33025099075297226</v>
      </c>
      <c r="Y26" s="2">
        <f t="shared" si="17"/>
        <v>0.42563482466747277</v>
      </c>
    </row>
    <row r="27" spans="1:25" x14ac:dyDescent="0.3">
      <c r="A27" s="14" t="s">
        <v>262</v>
      </c>
      <c r="B27" s="238">
        <f>SUM(B22:B25)</f>
        <v>1</v>
      </c>
      <c r="C27" s="238">
        <f t="shared" ref="C27:H27" si="18">SUM(C22:C25)</f>
        <v>1</v>
      </c>
      <c r="D27" s="238">
        <f t="shared" si="18"/>
        <v>1</v>
      </c>
      <c r="E27" s="238">
        <f t="shared" si="18"/>
        <v>1</v>
      </c>
      <c r="F27" s="238">
        <f t="shared" si="18"/>
        <v>1</v>
      </c>
      <c r="G27" s="238">
        <f t="shared" si="18"/>
        <v>0.99999999999999989</v>
      </c>
      <c r="H27" s="238">
        <f t="shared" si="18"/>
        <v>1</v>
      </c>
      <c r="I27" s="238">
        <f>SUM(I22:I25)</f>
        <v>1</v>
      </c>
      <c r="J27" s="238">
        <f>SUM(J22:J25)</f>
        <v>1</v>
      </c>
      <c r="K27" s="238">
        <f>SUM(K22:K25)</f>
        <v>1</v>
      </c>
      <c r="L27" s="238">
        <f t="shared" ref="L27:M27" si="19">SUM(L22:L25)</f>
        <v>1</v>
      </c>
      <c r="M27" s="238">
        <f t="shared" si="19"/>
        <v>1</v>
      </c>
      <c r="N27" s="238">
        <f>SUM(N22:N25)</f>
        <v>1</v>
      </c>
      <c r="O27" s="238">
        <f>SUM(O22:O25)</f>
        <v>1</v>
      </c>
      <c r="P27" s="238">
        <f t="shared" ref="P27:Q27" si="20">SUM(P22:P25)</f>
        <v>1</v>
      </c>
      <c r="Q27" s="238">
        <f t="shared" si="20"/>
        <v>0.99999999999999989</v>
      </c>
      <c r="R27" s="238">
        <f t="shared" ref="R27:U27" si="21">SUM(R22:R25)</f>
        <v>1</v>
      </c>
      <c r="S27" s="238">
        <f t="shared" si="21"/>
        <v>1</v>
      </c>
      <c r="T27" s="238">
        <f t="shared" si="21"/>
        <v>1</v>
      </c>
      <c r="U27" s="238">
        <f t="shared" si="21"/>
        <v>1</v>
      </c>
      <c r="V27" s="238">
        <f t="shared" ref="V27:Y27" si="22">SUM(V22:V25)</f>
        <v>1</v>
      </c>
      <c r="W27" s="238">
        <f t="shared" si="22"/>
        <v>0.99999999999999989</v>
      </c>
      <c r="X27" s="238">
        <f t="shared" si="22"/>
        <v>1</v>
      </c>
      <c r="Y27" s="238">
        <f t="shared" si="22"/>
        <v>1</v>
      </c>
    </row>
    <row r="28" spans="1:25" x14ac:dyDescent="0.3">
      <c r="A28" s="8" t="str">
        <f>IF(Inputs!$E$10 = "miles", "Per RPM:", "Per RPK:")</f>
        <v>Per RPM:</v>
      </c>
      <c r="B28" s="10"/>
      <c r="C28" s="10"/>
      <c r="D28" s="10"/>
      <c r="E28" s="10"/>
      <c r="F28" s="10"/>
      <c r="G28" s="10"/>
      <c r="H28" s="10"/>
      <c r="I28" s="10"/>
      <c r="J28" s="10"/>
      <c r="K28" s="10"/>
      <c r="L28" s="10"/>
      <c r="M28" s="10"/>
      <c r="N28" s="10"/>
      <c r="O28" s="10"/>
      <c r="P28" s="10"/>
      <c r="Q28" s="10"/>
      <c r="R28" s="10"/>
      <c r="S28" s="10"/>
      <c r="T28" s="10"/>
      <c r="U28" s="10"/>
      <c r="V28" s="10"/>
      <c r="W28" s="10"/>
      <c r="X28" s="10"/>
      <c r="Y28" s="10"/>
    </row>
    <row r="29" spans="1:25" x14ac:dyDescent="0.3">
      <c r="A29" s="85" t="str">
        <f>("Passenger Revenue -: [cents/" &amp;'Annual Operational Data'!$A$31 &amp; "]")</f>
        <v>Passenger Revenue -: [cents/RPMs]</v>
      </c>
      <c r="B29" s="5">
        <f>IFERROR(B9*100/'Interim Operational Data'!B$31, "N/A")</f>
        <v>18.651670348798287</v>
      </c>
      <c r="C29" s="5">
        <f>IFERROR(C9*100/'Interim Operational Data'!C$31, "N/A")</f>
        <v>18.296230335411103</v>
      </c>
      <c r="D29" s="5">
        <f>IFERROR(D9*100/'Interim Operational Data'!D$31, "N/A")</f>
        <v>18.160492620467206</v>
      </c>
      <c r="E29" s="5">
        <f>IFERROR(E9*100/'Interim Operational Data'!E$31, "N/A")</f>
        <v>18.534736291745638</v>
      </c>
      <c r="F29" s="5">
        <f>IFERROR(F9*100/'Interim Operational Data'!F$31, "N/A")</f>
        <v>17.797663435247326</v>
      </c>
      <c r="G29" s="5">
        <f>IFERROR(G9*100/'Interim Operational Data'!G$31, "N/A")</f>
        <v>17.064827885763926</v>
      </c>
      <c r="H29" s="5">
        <f>IFERROR(H9*100/'Interim Operational Data'!H$31, "N/A")</f>
        <v>16.877671818480763</v>
      </c>
      <c r="I29" s="5">
        <f>IFERROR(I9*100/'Interim Operational Data'!I$31, "N/A")</f>
        <v>17.202289860001134</v>
      </c>
      <c r="J29" s="5">
        <f>IFERROR(J9*100/'Interim Operational Data'!J$31, "N/A")</f>
        <v>16.874761463388037</v>
      </c>
      <c r="K29" s="5">
        <f>IFERROR(K9*100/'Interim Operational Data'!K$31, "N/A")</f>
        <v>16.805237003058103</v>
      </c>
      <c r="L29" s="5">
        <f>IFERROR(L9*100/'Interim Operational Data'!L$31, "N/A")</f>
        <v>16.915986702931399</v>
      </c>
      <c r="M29" s="5">
        <f>IFERROR(M9*100/'Interim Operational Data'!M$31, "N/A")</f>
        <v>17.431429160651682</v>
      </c>
      <c r="N29" s="5">
        <f>IFERROR(N9*100/'Interim Operational Data'!N$31, "N/A")</f>
        <v>17.069471624266146</v>
      </c>
      <c r="O29" s="5">
        <f>IFERROR(O9*100/'Interim Operational Data'!O$31, "N/A")</f>
        <v>17.308201642094112</v>
      </c>
      <c r="P29" s="5">
        <f>IFERROR(P9*100/'Interim Operational Data'!P$31, "N/A")</f>
        <v>17.628666783769543</v>
      </c>
      <c r="Q29" s="5">
        <f>IFERROR(Q9*100/'Interim Operational Data'!Q$31, "N/A")</f>
        <v>18.244315177154945</v>
      </c>
      <c r="R29" s="5">
        <f>IFERROR(R9*100/'Interim Operational Data'!R$31, "N/A")</f>
        <v>17.921382614004603</v>
      </c>
      <c r="S29" s="5">
        <f>IFERROR(S9*100/'Interim Operational Data'!S$31, "N/A")</f>
        <v>18.488684311469122</v>
      </c>
      <c r="T29" s="5">
        <f>IFERROR(T9*100/'Interim Operational Data'!T$31, "N/A")</f>
        <v>18.473205981254917</v>
      </c>
      <c r="U29" s="5">
        <f>IFERROR(U9*100/'Interim Operational Data'!U$31, "N/A")</f>
        <v>18.287156006167361</v>
      </c>
      <c r="V29" s="5">
        <f>IFERROR(V9*100/'Interim Operational Data'!V$31, "N/A")</f>
        <v>18.238418918147026</v>
      </c>
      <c r="W29" s="5">
        <f>IFERROR(W9*100/'Interim Operational Data'!W$31, "N/A")</f>
        <v>26.436781609195403</v>
      </c>
      <c r="X29" s="5">
        <f>IFERROR(X9*100/'Interim Operational Data'!X$31, "N/A")</f>
        <v>20.143027413587603</v>
      </c>
      <c r="Y29" s="5">
        <f>IFERROR(Y9*100/'Interim Operational Data'!Y$31, "N/A")</f>
        <v>19.53125</v>
      </c>
    </row>
    <row r="30" spans="1:25" x14ac:dyDescent="0.3">
      <c r="A30" s="85" t="s">
        <v>0</v>
      </c>
      <c r="B30" s="2"/>
      <c r="C30" s="2"/>
      <c r="D30" s="2"/>
      <c r="E30" s="2"/>
      <c r="F30" s="2"/>
      <c r="G30" s="2"/>
      <c r="H30" s="2"/>
      <c r="I30" s="2"/>
      <c r="J30" s="2"/>
      <c r="K30" s="2"/>
      <c r="L30" s="2"/>
      <c r="M30" s="2"/>
      <c r="N30" s="2"/>
      <c r="O30" s="2"/>
      <c r="P30" s="2"/>
      <c r="Q30" s="2"/>
      <c r="R30" s="2"/>
      <c r="S30" s="2"/>
      <c r="T30" s="2"/>
      <c r="U30" s="2"/>
      <c r="V30" s="2"/>
      <c r="W30" s="2"/>
      <c r="X30" s="2"/>
      <c r="Y30" s="2"/>
    </row>
    <row r="31" spans="1:25" x14ac:dyDescent="0.3">
      <c r="A31" s="85" t="str">
        <f>("Ancillary Revenue -: [cents/" &amp;'Annual Operational Data'!$A$31 &amp; "]")</f>
        <v>Ancillary Revenue -: [cents/RPMs]</v>
      </c>
      <c r="B31" s="5">
        <f>IFERROR(B11*100/'Interim Operational Data'!B$31, "N/A")</f>
        <v>0</v>
      </c>
      <c r="C31" s="5">
        <f>IFERROR(C11*100/'Interim Operational Data'!C$31, "N/A")</f>
        <v>0</v>
      </c>
      <c r="D31" s="5">
        <f>IFERROR(D11*100/'Interim Operational Data'!D$31, "N/A")</f>
        <v>0</v>
      </c>
      <c r="E31" s="5">
        <f>IFERROR(E11*100/'Interim Operational Data'!E$31, "N/A")</f>
        <v>0</v>
      </c>
      <c r="F31" s="5">
        <f>IFERROR(F11*100/'Interim Operational Data'!F$31, "N/A")</f>
        <v>0</v>
      </c>
      <c r="G31" s="5">
        <f>IFERROR(G11*100/'Interim Operational Data'!G$31, "N/A")</f>
        <v>0</v>
      </c>
      <c r="H31" s="5">
        <f>IFERROR(H11*100/'Interim Operational Data'!H$31, "N/A")</f>
        <v>0</v>
      </c>
      <c r="I31" s="5">
        <f>IFERROR(I11*100/'Interim Operational Data'!I$31, "N/A")</f>
        <v>0</v>
      </c>
      <c r="J31" s="5">
        <f>IFERROR(J11*100/'Interim Operational Data'!J$31, "N/A")</f>
        <v>0</v>
      </c>
      <c r="K31" s="5">
        <f>IFERROR(K11*100/'Interim Operational Data'!K$31, "N/A")</f>
        <v>0</v>
      </c>
      <c r="L31" s="5">
        <f>IFERROR(L11*100/'Interim Operational Data'!L$31, "N/A")</f>
        <v>0</v>
      </c>
      <c r="M31" s="5">
        <f>IFERROR(M11*100/'Interim Operational Data'!M$31, "N/A")</f>
        <v>0</v>
      </c>
      <c r="N31" s="5">
        <f>IFERROR(N11*100/'Interim Operational Data'!N$31, "N/A")</f>
        <v>0</v>
      </c>
      <c r="O31" s="5">
        <f>IFERROR(O11*100/'Interim Operational Data'!O$31, "N/A")</f>
        <v>0</v>
      </c>
      <c r="P31" s="5">
        <f>IFERROR(P11*100/'Interim Operational Data'!P$31, "N/A")</f>
        <v>0</v>
      </c>
      <c r="Q31" s="5">
        <f>IFERROR(Q11*100/'Interim Operational Data'!Q$31, "N/A")</f>
        <v>0</v>
      </c>
      <c r="R31" s="5">
        <f>IFERROR(R11*100/'Interim Operational Data'!R$31, "N/A")</f>
        <v>0</v>
      </c>
      <c r="S31" s="5">
        <f>IFERROR(S11*100/'Interim Operational Data'!S$31, "N/A")</f>
        <v>0</v>
      </c>
      <c r="T31" s="5">
        <f>IFERROR(T11*100/'Interim Operational Data'!T$31, "N/A")</f>
        <v>0</v>
      </c>
      <c r="U31" s="5">
        <f>IFERROR(U11*100/'Interim Operational Data'!U$31, "N/A")</f>
        <v>0</v>
      </c>
      <c r="V31" s="5">
        <f>IFERROR(V11*100/'Interim Operational Data'!V$31, "N/A")</f>
        <v>0</v>
      </c>
      <c r="W31" s="5">
        <f>IFERROR(W11*100/'Interim Operational Data'!W$31, "N/A")</f>
        <v>0</v>
      </c>
      <c r="X31" s="5">
        <f>IFERROR(X11*100/'Interim Operational Data'!X$31, "N/A")</f>
        <v>0</v>
      </c>
      <c r="Y31" s="5">
        <f>IFERROR(Y11*100/'Interim Operational Data'!Y$31, "N/A")</f>
        <v>0</v>
      </c>
    </row>
    <row r="32" spans="1:25" x14ac:dyDescent="0.3">
      <c r="A32" s="85" t="s">
        <v>0</v>
      </c>
      <c r="B32" s="2"/>
      <c r="C32" s="2"/>
      <c r="D32" s="2"/>
      <c r="E32" s="2"/>
      <c r="F32" s="2"/>
      <c r="G32" s="2"/>
      <c r="H32" s="2"/>
      <c r="I32" s="2"/>
      <c r="J32" s="2"/>
      <c r="K32" s="2"/>
      <c r="L32" s="2"/>
      <c r="M32" s="2"/>
      <c r="N32" s="2"/>
      <c r="O32" s="2"/>
      <c r="P32" s="2"/>
      <c r="Q32" s="2"/>
      <c r="R32" s="2"/>
      <c r="S32" s="2"/>
      <c r="T32" s="2"/>
      <c r="U32" s="2"/>
      <c r="V32" s="2"/>
      <c r="W32" s="2"/>
      <c r="X32" s="2"/>
      <c r="Y32" s="2"/>
    </row>
    <row r="33" spans="1:25" x14ac:dyDescent="0.3">
      <c r="A33" s="85" t="str">
        <f>("Cargo Revenue -: [cents/"&amp;'Annual Operational Data'!$A$31 &amp; "]")</f>
        <v>Cargo Revenue -: [cents/RPMs]</v>
      </c>
      <c r="B33" s="5">
        <f>IFERROR(B13*100/'Interim Operational Data'!B$31, "N/A")</f>
        <v>0.86362723438441458</v>
      </c>
      <c r="C33" s="5">
        <f>IFERROR(C13*100/'Interim Operational Data'!C$31, "N/A")</f>
        <v>0.730186999109528</v>
      </c>
      <c r="D33" s="5">
        <f>IFERROR(D13*100/'Interim Operational Data'!D$31, "N/A")</f>
        <v>0.58156582934219525</v>
      </c>
      <c r="E33" s="5">
        <f>IFERROR(E13*100/'Interim Operational Data'!E$31, "N/A")</f>
        <v>0.88229527481863934</v>
      </c>
      <c r="F33" s="5">
        <f>IFERROR(F13*100/'Interim Operational Data'!F$31, "N/A")</f>
        <v>0.72085508327119063</v>
      </c>
      <c r="G33" s="5">
        <f>IFERROR(G13*100/'Interim Operational Data'!G$31, "N/A")</f>
        <v>0.60267129981539802</v>
      </c>
      <c r="H33" s="5">
        <f>IFERROR(H13*100/'Interim Operational Data'!H$31, "N/A")</f>
        <v>0.53436369615258139</v>
      </c>
      <c r="I33" s="5">
        <f>IFERROR(I13*100/'Interim Operational Data'!I$31, "N/A")</f>
        <v>0.8785353964745225</v>
      </c>
      <c r="J33" s="5">
        <f>IFERROR(J13*100/'Interim Operational Data'!J$31, "N/A")</f>
        <v>0.73060356578158225</v>
      </c>
      <c r="K33" s="5">
        <f>IFERROR(K13*100/'Interim Operational Data'!K$31, "N/A")</f>
        <v>0.73585626911314983</v>
      </c>
      <c r="L33" s="5">
        <f>IFERROR(L13*100/'Interim Operational Data'!L$31, "N/A")</f>
        <v>0.67618615896041101</v>
      </c>
      <c r="M33" s="5">
        <f>IFERROR(M13*100/'Interim Operational Data'!M$31, "N/A")</f>
        <v>0.94349350381521968</v>
      </c>
      <c r="N33" s="5">
        <f>IFERROR(N13*100/'Interim Operational Data'!N$31, "N/A")</f>
        <v>0.82191780821917804</v>
      </c>
      <c r="O33" s="5">
        <f>IFERROR(O13*100/'Interim Operational Data'!O$31, "N/A")</f>
        <v>0.88284629645978641</v>
      </c>
      <c r="P33" s="5">
        <f>IFERROR(P13*100/'Interim Operational Data'!P$31, "N/A")</f>
        <v>0.76585280168628145</v>
      </c>
      <c r="Q33" s="5">
        <f>IFERROR(Q13*100/'Interim Operational Data'!Q$31, "N/A")</f>
        <v>1.0432190760059612</v>
      </c>
      <c r="R33" s="5">
        <f>IFERROR(R13*100/'Interim Operational Data'!R$31, "N/A")</f>
        <v>0.83125909923449026</v>
      </c>
      <c r="S33" s="5">
        <f>IFERROR(S13*100/'Interim Operational Data'!S$31, "N/A")</f>
        <v>0.75437923539189367</v>
      </c>
      <c r="T33" s="5">
        <f>IFERROR(T13*100/'Interim Operational Data'!T$31, "N/A")</f>
        <v>0.63318308649924882</v>
      </c>
      <c r="U33" s="5">
        <f>IFERROR(U13*100/'Interim Operational Data'!U$31, "N/A")</f>
        <v>0.8690370508807177</v>
      </c>
      <c r="V33" s="5">
        <f>IFERROR(V13*100/'Interim Operational Data'!V$31, "N/A")</f>
        <v>0.85108813617410184</v>
      </c>
      <c r="W33" s="5">
        <f>IFERROR(W13*100/'Interim Operational Data'!W$31, "N/A")</f>
        <v>34.355044699872288</v>
      </c>
      <c r="X33" s="5">
        <f>IFERROR(X13*100/'Interim Operational Data'!X$31, "N/A")</f>
        <v>8.5816448152562579</v>
      </c>
      <c r="Y33" s="5">
        <f>IFERROR(Y13*100/'Interim Operational Data'!Y$31, "N/A")</f>
        <v>11.759868421052632</v>
      </c>
    </row>
    <row r="34" spans="1:25" x14ac:dyDescent="0.3">
      <c r="A34" s="85" t="s">
        <v>0</v>
      </c>
      <c r="B34" s="2"/>
      <c r="C34" s="2"/>
      <c r="D34" s="2"/>
      <c r="E34" s="2"/>
      <c r="F34" s="2"/>
      <c r="G34" s="2"/>
      <c r="H34" s="2"/>
      <c r="I34" s="2"/>
      <c r="J34" s="2"/>
      <c r="K34" s="2"/>
      <c r="L34" s="2"/>
      <c r="M34" s="2"/>
      <c r="N34" s="2"/>
      <c r="O34" s="2"/>
      <c r="P34" s="2"/>
      <c r="Q34" s="2"/>
      <c r="R34" s="2"/>
      <c r="S34" s="2"/>
      <c r="T34" s="2"/>
      <c r="U34" s="2"/>
      <c r="V34" s="2"/>
      <c r="W34" s="2"/>
      <c r="X34" s="2"/>
      <c r="Y34" s="2"/>
    </row>
    <row r="35" spans="1:25" x14ac:dyDescent="0.3">
      <c r="A35" s="85" t="str">
        <f>("Other Revenue  -: [cents/"&amp;'Annual Operational Data'!$A$31&amp;"]")</f>
        <v>Other Revenue  -: [cents/RPMs]</v>
      </c>
      <c r="B35" s="5">
        <f>IFERROR(B15*100/'Interim Operational Data'!B$31, "N/A")</f>
        <v>2.2360581107317401</v>
      </c>
      <c r="C35" s="5">
        <f>IFERROR(C15*100/'Interim Operational Data'!C$31, "N/A")</f>
        <v>1.240724250519442</v>
      </c>
      <c r="D35" s="5">
        <f>IFERROR(D15*100/'Interim Operational Data'!D$31, "N/A")</f>
        <v>0.91877626820447655</v>
      </c>
      <c r="E35" s="5">
        <f>IFERROR(E15*100/'Interim Operational Data'!E$31, "N/A")</f>
        <v>1.3789948369387621</v>
      </c>
      <c r="F35" s="5">
        <f>IFERROR(F15*100/'Interim Operational Data'!F$31, "N/A")</f>
        <v>2.2557792692020882</v>
      </c>
      <c r="G35" s="5">
        <f>IFERROR(G15*100/'Interim Operational Data'!G$31, "N/A")</f>
        <v>1.1076121185796504</v>
      </c>
      <c r="H35" s="5">
        <f>IFERROR(H15*100/'Interim Operational Data'!H$31, "N/A")</f>
        <v>0.88375534363696151</v>
      </c>
      <c r="I35" s="5">
        <f>IFERROR(I15*100/'Interim Operational Data'!I$31, "N/A")</f>
        <v>1.3319730204613729</v>
      </c>
      <c r="J35" s="5">
        <f>IFERROR(J15*100/'Interim Operational Data'!J$31, "N/A")</f>
        <v>2.2517856169238319</v>
      </c>
      <c r="K35" s="5">
        <f>IFERROR(K15*100/'Interim Operational Data'!K$31, "N/A")</f>
        <v>1.1420107033639144</v>
      </c>
      <c r="L35" s="5">
        <f>IFERROR(L15*100/'Interim Operational Data'!L$31, "N/A")</f>
        <v>0.8423995164702327</v>
      </c>
      <c r="M35" s="5">
        <f>IFERROR(M15*100/'Interim Operational Data'!M$31, "N/A")</f>
        <v>1.3198597648999795</v>
      </c>
      <c r="N35" s="5">
        <f>IFERROR(N15*100/'Interim Operational Data'!N$31, "N/A")</f>
        <v>2.0254403131115462</v>
      </c>
      <c r="O35" s="5">
        <f>IFERROR(O15*100/'Interim Operational Data'!O$31, "N/A")</f>
        <v>0.93581707424737348</v>
      </c>
      <c r="P35" s="5">
        <f>IFERROR(P15*100/'Interim Operational Data'!P$31, "N/A")</f>
        <v>0.62884243808185492</v>
      </c>
      <c r="Q35" s="5">
        <f>IFERROR(Q15*100/'Interim Operational Data'!Q$31, "N/A")</f>
        <v>1.1249459160617279</v>
      </c>
      <c r="R35" s="5">
        <f>IFERROR(R15*100/'Interim Operational Data'!R$31, "N/A")</f>
        <v>2.1603343821913303</v>
      </c>
      <c r="S35" s="5">
        <f>IFERROR(S15*100/'Interim Operational Data'!S$31, "N/A")</f>
        <v>1.0314111579934364</v>
      </c>
      <c r="T35" s="5">
        <f>IFERROR(T15*100/'Interim Operational Data'!T$31, "N/A")</f>
        <v>0.75838878156972167</v>
      </c>
      <c r="U35" s="5">
        <f>IFERROR(U15*100/'Interim Operational Data'!U$31, "N/A")</f>
        <v>1.2521609120216792</v>
      </c>
      <c r="V35" s="5">
        <f>IFERROR(V15*100/'Interim Operational Data'!V$31, "N/A")</f>
        <v>2.1705603472896557</v>
      </c>
      <c r="W35" s="5">
        <f>IFERROR(W15*100/'Interim Operational Data'!W$31, "N/A")</f>
        <v>6.5134099616858236</v>
      </c>
      <c r="X35" s="5">
        <f>IFERROR(X15*100/'Interim Operational Data'!X$31, "N/A")</f>
        <v>1.3508144616607072</v>
      </c>
      <c r="Y35" s="5">
        <f>IFERROR(Y15*100/'Interim Operational Data'!Y$31, "N/A")</f>
        <v>2.7138157894736841</v>
      </c>
    </row>
    <row r="36" spans="1:25" x14ac:dyDescent="0.3">
      <c r="A36" s="85" t="s">
        <v>0</v>
      </c>
      <c r="B36" s="2"/>
      <c r="C36" s="2"/>
      <c r="D36" s="2"/>
      <c r="E36" s="2"/>
      <c r="F36" s="2"/>
      <c r="G36" s="2"/>
      <c r="H36" s="2"/>
      <c r="I36" s="2"/>
      <c r="J36" s="2"/>
      <c r="K36" s="2"/>
      <c r="L36" s="2"/>
      <c r="M36" s="2"/>
      <c r="N36" s="2"/>
      <c r="O36" s="2"/>
      <c r="P36" s="2"/>
      <c r="Q36" s="2"/>
      <c r="R36" s="2"/>
      <c r="S36" s="2"/>
      <c r="T36" s="2"/>
      <c r="U36" s="2"/>
      <c r="V36" s="2"/>
      <c r="W36" s="2"/>
      <c r="X36" s="2"/>
      <c r="Y36" s="2"/>
    </row>
    <row r="37" spans="1:25" x14ac:dyDescent="0.3">
      <c r="A37" s="85" t="str">
        <f>("Total Cargo &amp; Other Revenue -: [cents/" &amp;'Annual Operational Data'!$A$31 &amp; "]")</f>
        <v>Total Cargo &amp; Other Revenue -: [cents/RPMs]</v>
      </c>
      <c r="B37" s="5">
        <f>IFERROR(B17*100/'Interim Operational Data'!B$31, "N/A")</f>
        <v>3.0996853451161543</v>
      </c>
      <c r="C37" s="5">
        <f>IFERROR(C17*100/'Interim Operational Data'!C$31, "N/A")</f>
        <v>1.97091124962897</v>
      </c>
      <c r="D37" s="5">
        <f>IFERROR(D17*100/'Interim Operational Data'!D$31, "N/A")</f>
        <v>1.5003420975466719</v>
      </c>
      <c r="E37" s="5">
        <f>IFERROR(E17*100/'Interim Operational Data'!E$31, "N/A")</f>
        <v>2.2612901117574014</v>
      </c>
      <c r="F37" s="5">
        <f>IFERROR(F17*100/'Interim Operational Data'!F$31, "N/A")</f>
        <v>2.9766343524732788</v>
      </c>
      <c r="G37" s="5">
        <f>IFERROR(G17*100/'Interim Operational Data'!G$31, "N/A")</f>
        <v>1.7102834183950484</v>
      </c>
      <c r="H37" s="5">
        <f>IFERROR(H17*100/'Interim Operational Data'!H$31, "N/A")</f>
        <v>1.4181190397895429</v>
      </c>
      <c r="I37" s="5">
        <f>IFERROR(I17*100/'Interim Operational Data'!I$31, "N/A")</f>
        <v>2.2105084169358951</v>
      </c>
      <c r="J37" s="5">
        <f>IFERROR(J17*100/'Interim Operational Data'!J$31, "N/A")</f>
        <v>2.9823891827054143</v>
      </c>
      <c r="K37" s="5">
        <f>IFERROR(K17*100/'Interim Operational Data'!K$31, "N/A")</f>
        <v>1.8778669724770642</v>
      </c>
      <c r="L37" s="5">
        <f>IFERROR(L17*100/'Interim Operational Data'!L$31, "N/A")</f>
        <v>1.5185856754306437</v>
      </c>
      <c r="M37" s="5">
        <f>IFERROR(M17*100/'Interim Operational Data'!M$31, "N/A")</f>
        <v>2.2633532687151989</v>
      </c>
      <c r="N37" s="5">
        <f>IFERROR(N17*100/'Interim Operational Data'!N$31, "N/A")</f>
        <v>2.847358121330724</v>
      </c>
      <c r="O37" s="5">
        <f>IFERROR(O17*100/'Interim Operational Data'!O$31, "N/A")</f>
        <v>1.8186633707071598</v>
      </c>
      <c r="P37" s="5">
        <f>IFERROR(P17*100/'Interim Operational Data'!P$31, "N/A")</f>
        <v>1.3946952397681363</v>
      </c>
      <c r="Q37" s="5">
        <f>IFERROR(Q17*100/'Interim Operational Data'!Q$31, "N/A")</f>
        <v>2.1681649920676889</v>
      </c>
      <c r="R37" s="5">
        <f>IFERROR(R17*100/'Interim Operational Data'!R$31, "N/A")</f>
        <v>2.9915934814258205</v>
      </c>
      <c r="S37" s="5">
        <f>IFERROR(S17*100/'Interim Operational Data'!S$31, "N/A")</f>
        <v>1.7857903933853301</v>
      </c>
      <c r="T37" s="5">
        <f>IFERROR(T17*100/'Interim Operational Data'!T$31, "N/A")</f>
        <v>1.3915718680689704</v>
      </c>
      <c r="U37" s="5">
        <f>IFERROR(U17*100/'Interim Operational Data'!U$31, "N/A")</f>
        <v>2.1211979629023969</v>
      </c>
      <c r="V37" s="5">
        <f>IFERROR(V17*100/'Interim Operational Data'!V$31, "N/A")</f>
        <v>3.0216484834637574</v>
      </c>
      <c r="W37" s="5">
        <f>IFERROR(W17*100/'Interim Operational Data'!W$31, "N/A")</f>
        <v>40.868454661558111</v>
      </c>
      <c r="X37" s="5">
        <f>IFERROR(X17*100/'Interim Operational Data'!X$31, "N/A")</f>
        <v>9.9324592769169655</v>
      </c>
      <c r="Y37" s="5">
        <f>IFERROR(Y17*100/'Interim Operational Data'!Y$31, "N/A")</f>
        <v>14.473684210526315</v>
      </c>
    </row>
    <row r="38" spans="1:25" x14ac:dyDescent="0.3">
      <c r="A38" s="85" t="s">
        <v>0</v>
      </c>
      <c r="B38" s="2"/>
      <c r="C38" s="2"/>
      <c r="D38" s="2"/>
      <c r="E38" s="2"/>
      <c r="F38" s="2"/>
      <c r="G38" s="2"/>
      <c r="H38" s="2"/>
      <c r="I38" s="2"/>
      <c r="J38" s="2"/>
      <c r="K38" s="2"/>
      <c r="L38" s="2"/>
      <c r="M38" s="2"/>
      <c r="N38" s="2"/>
      <c r="O38" s="2"/>
      <c r="P38" s="2"/>
      <c r="Q38" s="2"/>
      <c r="R38" s="2"/>
      <c r="S38" s="2"/>
      <c r="T38" s="2"/>
      <c r="U38" s="2"/>
      <c r="V38" s="2"/>
      <c r="W38" s="2"/>
      <c r="X38" s="2"/>
      <c r="Y38" s="2"/>
    </row>
    <row r="39" spans="1:25" x14ac:dyDescent="0.3">
      <c r="A39" s="14" t="str">
        <f>("Total Revenue -: [cents/"&amp;'Annual Operational Data'!$A$31 &amp; "]")</f>
        <v>Total Revenue -: [cents/RPMs]</v>
      </c>
      <c r="B39" s="6">
        <f>IFERROR(B19*100/'Interim Operational Data'!B$31, "N/A")</f>
        <v>21.751355693914441</v>
      </c>
      <c r="C39" s="6">
        <f>IFERROR(C19*100/'Interim Operational Data'!C$31, "N/A")</f>
        <v>20.267141585040072</v>
      </c>
      <c r="D39" s="6">
        <f>IFERROR(D19*100/'Interim Operational Data'!D$31, "N/A")</f>
        <v>19.660834718013881</v>
      </c>
      <c r="E39" s="6">
        <f>IFERROR(E19*100/'Interim Operational Data'!E$31, "N/A")</f>
        <v>20.796026403503038</v>
      </c>
      <c r="F39" s="6">
        <f>IFERROR(F19*100/'Interim Operational Data'!F$31, "N/A")</f>
        <v>20.774297787720606</v>
      </c>
      <c r="G39" s="6">
        <f>IFERROR(G19*100/'Interim Operational Data'!G$31, "N/A")</f>
        <v>18.775111304158976</v>
      </c>
      <c r="H39" s="6">
        <f>IFERROR(H19*100/'Interim Operational Data'!H$31, "N/A")</f>
        <v>18.295790858270305</v>
      </c>
      <c r="I39" s="6">
        <f>IFERROR(I19*100/'Interim Operational Data'!I$31, "N/A")</f>
        <v>19.412798276937028</v>
      </c>
      <c r="J39" s="6">
        <f>IFERROR(J19*100/'Interim Operational Data'!J$31, "N/A")</f>
        <v>19.857150646093451</v>
      </c>
      <c r="K39" s="6">
        <f>IFERROR(K19*100/'Interim Operational Data'!K$31, "N/A")</f>
        <v>18.683103975535168</v>
      </c>
      <c r="L39" s="6">
        <f>IFERROR(L19*100/'Interim Operational Data'!L$31, "N/A")</f>
        <v>18.434572378362041</v>
      </c>
      <c r="M39" s="6">
        <f>IFERROR(M19*100/'Interim Operational Data'!M$31, "N/A")</f>
        <v>19.694782429366878</v>
      </c>
      <c r="N39" s="6">
        <f>IFERROR(N19*100/'Interim Operational Data'!N$31, "N/A")</f>
        <v>19.916829745596868</v>
      </c>
      <c r="O39" s="6">
        <f>IFERROR(O19*100/'Interim Operational Data'!O$31, "N/A")</f>
        <v>19.126865012801272</v>
      </c>
      <c r="P39" s="6">
        <f>IFERROR(P19*100/'Interim Operational Data'!P$31, "N/A")</f>
        <v>19.023362023537679</v>
      </c>
      <c r="Q39" s="6">
        <f>IFERROR(Q19*100/'Interim Operational Data'!Q$31, "N/A")</f>
        <v>20.412480169222633</v>
      </c>
      <c r="R39" s="6">
        <f>IFERROR(R19*100/'Interim Operational Data'!R$31, "N/A")</f>
        <v>20.912976095430423</v>
      </c>
      <c r="S39" s="6">
        <f>IFERROR(S19*100/'Interim Operational Data'!S$31, "N/A")</f>
        <v>20.274474704854452</v>
      </c>
      <c r="T39" s="6">
        <f>IFERROR(T19*100/'Interim Operational Data'!T$31, "N/A")</f>
        <v>19.86477784932389</v>
      </c>
      <c r="U39" s="6">
        <f>IFERROR(U19*100/'Interim Operational Data'!U$31, "N/A")</f>
        <v>20.408353969069758</v>
      </c>
      <c r="V39" s="6">
        <f>IFERROR(V19*100/'Interim Operational Data'!V$31, "N/A")</f>
        <v>21.260067401610783</v>
      </c>
      <c r="W39" s="6">
        <f>IFERROR(W19*100/'Interim Operational Data'!W$31, "N/A")</f>
        <v>67.305236270753511</v>
      </c>
      <c r="X39" s="6">
        <f>IFERROR(X19*100/'Interim Operational Data'!X$31, "N/A")</f>
        <v>30.075486690504569</v>
      </c>
      <c r="Y39" s="6">
        <f>IFERROR(Y19*100/'Interim Operational Data'!Y$31, "N/A")</f>
        <v>34.004934210526315</v>
      </c>
    </row>
    <row r="40" spans="1:25" x14ac:dyDescent="0.3">
      <c r="A40" s="85" t="s">
        <v>0</v>
      </c>
      <c r="B40" s="2"/>
      <c r="C40" s="2" t="str">
        <f ca="1">IFERROR(IF(Inputs!$E$14 = "Semi-annual",(C39/OFFSET(C39,0,-2,,))-1,(C39/OFFSET(C39,0,-4,,))-1),"")</f>
        <v/>
      </c>
      <c r="D40" s="2" t="str">
        <f ca="1">IFERROR(IF(Inputs!$E$14 = "Semi-annual",(D39/OFFSET(D39,0,-2,,))-1,(D39/OFFSET(D39,0,-4,,))-1),"")</f>
        <v/>
      </c>
      <c r="E40" s="2" t="str">
        <f ca="1">IFERROR(IF(Inputs!$E$14 = "Semi-annual",(E39/OFFSET(E39,0,-2,,))-1,(E39/OFFSET(E39,0,-4,,))-1),"")</f>
        <v/>
      </c>
      <c r="F40" s="2">
        <f ca="1">IFERROR(IF(Inputs!$E$14 = "Semi-annual",(F39/OFFSET(F39,0,-2,,))-1,(F39/OFFSET(F39,0,-4,,))-1),"")</f>
        <v>-4.4919402723352708E-2</v>
      </c>
      <c r="G40" s="2">
        <f ca="1">IFERROR(IF(Inputs!$E$14 = "Semi-annual",(G39/OFFSET(G39,0,-2,,))-1,(G39/OFFSET(G39,0,-4,,))-1),"")</f>
        <v>-7.3618190045231624E-2</v>
      </c>
      <c r="H40" s="2">
        <f ca="1">IFERROR(IF(Inputs!$E$14 = "Semi-annual",(H39/OFFSET(H39,0,-2,,))-1,(H39/OFFSET(H39,0,-4,,))-1),"")</f>
        <v>-6.9429598454071706E-2</v>
      </c>
      <c r="I40" s="2">
        <f ca="1">IFERROR(IF(Inputs!$E$14 = "Semi-annual",(I39/OFFSET(I39,0,-2,,))-1,(I39/OFFSET(I39,0,-4,,))-1),"")</f>
        <v>-6.6514058971045009E-2</v>
      </c>
      <c r="J40" s="2">
        <f ca="1">IFERROR(IF(Inputs!$E$14 = "Semi-annual",(J39/OFFSET(J39,0,-2,,))-1,(J39/OFFSET(J39,0,-4,,))-1),"")</f>
        <v>-4.4148165728579603E-2</v>
      </c>
      <c r="K40" s="2">
        <f ca="1">IFERROR(IF(Inputs!$E$14 = "Semi-annual",(K39/OFFSET(K39,0,-2,,))-1,(K39/OFFSET(K39,0,-4,,))-1),"")</f>
        <v>-4.9004944435896425E-3</v>
      </c>
      <c r="L40" s="2">
        <f ca="1">IFERROR(IF(Inputs!$E$14 = "Semi-annual",(L39/OFFSET(L39,0,-2,,))-1,(L39/OFFSET(L39,0,-4,,))-1),"")</f>
        <v>7.5854343311430039E-3</v>
      </c>
      <c r="M40" s="2">
        <f ca="1">IFERROR(IF(Inputs!$E$14 = "Semi-annual",(M39/OFFSET(M39,0,-2,,))-1,(M39/OFFSET(M39,0,-4,,))-1),"")</f>
        <v>1.45256829235616E-2</v>
      </c>
      <c r="N40" s="2">
        <f ca="1">IFERROR(IF(Inputs!$E$14 = "Semi-annual",(N39/OFFSET(N39,0,-2,,))-1,(N39/OFFSET(N39,0,-4,,))-1),"")</f>
        <v>3.0054210982761731E-3</v>
      </c>
      <c r="O40" s="2">
        <f ca="1">IFERROR(IF(Inputs!$E$14 = "Semi-annual",(O39/OFFSET(O39,0,-2,,))-1,(O39/OFFSET(O39,0,-4,,))-1),"")</f>
        <v>2.3751997411521675E-2</v>
      </c>
      <c r="P40" s="2">
        <f ca="1">IFERROR(IF(Inputs!$E$14 = "Semi-annual",(P39/OFFSET(P39,0,-2,,))-1,(P39/OFFSET(P39,0,-4,,))-1),"")</f>
        <v>3.1939425178462155E-2</v>
      </c>
      <c r="Q40" s="2">
        <f ca="1">IFERROR(IF(Inputs!$E$14 = "Semi-annual",(Q39/OFFSET(Q39,0,-2,,))-1,(Q39/OFFSET(Q39,0,-4,,))-1),"")</f>
        <v>3.6441008801681107E-2</v>
      </c>
      <c r="R40" s="2">
        <f ca="1">IFERROR(IF(Inputs!$E$14 = "Semi-annual",(R39/OFFSET(R39,0,-2,,))-1,(R39/OFFSET(R39,0,-4,,))-1),"")</f>
        <v>5.0015306781129532E-2</v>
      </c>
      <c r="S40" s="2">
        <f ca="1">IFERROR(IF(Inputs!$E$14 = "Semi-annual",(S39/OFFSET(S39,0,-2,,))-1,(S39/OFFSET(S39,0,-4,,))-1),"")</f>
        <v>5.9999884522900393E-2</v>
      </c>
      <c r="T40" s="2">
        <f ca="1">IFERROR(IF(Inputs!$E$14 = "Semi-annual",(T39/OFFSET(T39,0,-2,,))-1,(T39/OFFSET(T39,0,-4,,))-1),"")</f>
        <v>4.4230658321337879E-2</v>
      </c>
      <c r="U40" s="2">
        <f ca="1">IFERROR(IF(Inputs!$E$14 = "Semi-annual",(U39/OFFSET(U39,0,-2,,))-1,(U39/OFFSET(U39,0,-4,,))-1),"")</f>
        <v>-2.0214104894011875E-4</v>
      </c>
      <c r="V40" s="2">
        <f ca="1">IFERROR(IF(Inputs!$E$14 = "Semi-annual",(V39/OFFSET(V39,0,-2,,))-1,(V39/OFFSET(V39,0,-4,,))-1),"")</f>
        <v>1.6596935060629647E-2</v>
      </c>
      <c r="W40" s="2">
        <f ca="1">IFERROR(IF(Inputs!$E$14 = "Semi-annual",(W39/OFFSET(W39,0,-2,,))-1,(W39/OFFSET(W39,0,-4,,))-1),"")</f>
        <v>2.31970308728335</v>
      </c>
      <c r="X40" s="2">
        <f ca="1">IFERROR(IF(Inputs!$E$14 = "Semi-annual",(X39/OFFSET(X39,0,-2,,))-1,(X39/OFFSET(X39,0,-4,,))-1),"")</f>
        <v>0.51401072383642132</v>
      </c>
      <c r="Y40" s="2">
        <f ca="1">IFERROR(IF(Inputs!$E$14 = "Semi-annual",(Y39/OFFSET(Y39,0,-2,,))-1,(Y39/OFFSET(Y39,0,-4,,))-1),"")</f>
        <v>0.66622620629096763</v>
      </c>
    </row>
    <row r="41" spans="1:25" x14ac:dyDescent="0.3">
      <c r="A41" s="8" t="str">
        <f>IF(Inputs!$E$10 = "miles", "Per ASM:", "Per ASK:")</f>
        <v>Per ASM:</v>
      </c>
      <c r="B41" s="10"/>
      <c r="C41" s="10"/>
      <c r="D41" s="10"/>
      <c r="E41" s="10"/>
      <c r="F41" s="10"/>
      <c r="G41" s="10"/>
      <c r="H41" s="10"/>
      <c r="I41" s="10"/>
      <c r="J41" s="10"/>
      <c r="K41" s="10"/>
      <c r="L41" s="10"/>
      <c r="M41" s="10"/>
      <c r="N41" s="10"/>
      <c r="O41" s="10"/>
      <c r="P41" s="10"/>
      <c r="Q41" s="10"/>
      <c r="R41" s="10"/>
      <c r="S41" s="10"/>
      <c r="T41" s="10"/>
      <c r="U41" s="10"/>
      <c r="V41" s="10"/>
      <c r="W41" s="10"/>
      <c r="X41" s="10"/>
      <c r="Y41" s="10"/>
    </row>
    <row r="42" spans="1:25" x14ac:dyDescent="0.3">
      <c r="A42" s="85" t="str">
        <f>("Passenger Revenue -: [cents/" &amp;'Annual Operational Data'!$A$33 &amp; "]")</f>
        <v>Passenger Revenue -: [cents/ASMs]</v>
      </c>
      <c r="B42" s="5">
        <f>IFERROR(B9*100/'Interim Operational Data'!B$33, "N/A")</f>
        <v>15.194982274338697</v>
      </c>
      <c r="C42" s="5">
        <f>IFERROR(C9*100/'Interim Operational Data'!C$33, "N/A")</f>
        <v>15.30896085833499</v>
      </c>
      <c r="D42" s="5">
        <f>IFERROR(D9*100/'Interim Operational Data'!D$33, "N/A")</f>
        <v>15.789250053112386</v>
      </c>
      <c r="E42" s="5">
        <f>IFERROR(E9*100/'Interim Operational Data'!E$33, "N/A")</f>
        <v>15.029943293232286</v>
      </c>
      <c r="F42" s="5">
        <f>IFERROR(F9*100/'Interim Operational Data'!F$33, "N/A")</f>
        <v>14.440578833257701</v>
      </c>
      <c r="G42" s="5">
        <f>IFERROR(G9*100/'Interim Operational Data'!G$33, "N/A")</f>
        <v>14.06641604010025</v>
      </c>
      <c r="H42" s="5">
        <f>IFERROR(H9*100/'Interim Operational Data'!H$33, "N/A")</f>
        <v>14.428280272682549</v>
      </c>
      <c r="I42" s="5">
        <f>IFERROR(I9*100/'Interim Operational Data'!I$33, "N/A")</f>
        <v>13.738626590014032</v>
      </c>
      <c r="J42" s="5">
        <f>IFERROR(J9*100/'Interim Operational Data'!J$33, "N/A")</f>
        <v>13.518825893247138</v>
      </c>
      <c r="K42" s="5">
        <f>IFERROR(K9*100/'Interim Operational Data'!K$33, "N/A")</f>
        <v>13.869937295421384</v>
      </c>
      <c r="L42" s="5">
        <f>IFERROR(L9*100/'Interim Operational Data'!L$33, "N/A")</f>
        <v>14.421900161030596</v>
      </c>
      <c r="M42" s="5">
        <f>IFERROR(M9*100/'Interim Operational Data'!M$33, "N/A")</f>
        <v>13.97627216733496</v>
      </c>
      <c r="N42" s="5">
        <f>IFERROR(N9*100/'Interim Operational Data'!N$33, "N/A")</f>
        <v>14.033464725283565</v>
      </c>
      <c r="O42" s="5">
        <f>IFERROR(O9*100/'Interim Operational Data'!O$33, "N/A")</f>
        <v>14.378965125233782</v>
      </c>
      <c r="P42" s="5">
        <f>IFERROR(P9*100/'Interim Operational Data'!P$33, "N/A")</f>
        <v>15.143193409180071</v>
      </c>
      <c r="Q42" s="5">
        <f>IFERROR(Q9*100/'Interim Operational Data'!Q$33, "N/A")</f>
        <v>14.825376982576763</v>
      </c>
      <c r="R42" s="5">
        <f>IFERROR(R9*100/'Interim Operational Data'!R$33, "N/A")</f>
        <v>14.667896678966789</v>
      </c>
      <c r="S42" s="5">
        <f>IFERROR(S9*100/'Interim Operational Data'!S$33, "N/A")</f>
        <v>15.542816194912218</v>
      </c>
      <c r="T42" s="5">
        <f>IFERROR(T9*100/'Interim Operational Data'!T$33, "N/A")</f>
        <v>15.910281295252179</v>
      </c>
      <c r="U42" s="5">
        <f>IFERROR(U9*100/'Interim Operational Data'!U$33, "N/A")</f>
        <v>14.808368960690098</v>
      </c>
      <c r="V42" s="5">
        <f>IFERROR(V9*100/'Interim Operational Data'!V$33, "N/A")</f>
        <v>13.58087703628089</v>
      </c>
      <c r="W42" s="5">
        <f>IFERROR(W9*100/'Interim Operational Data'!W$33, "N/A")</f>
        <v>9.2287115470352212</v>
      </c>
      <c r="X42" s="5">
        <f>IFERROR(X9*100/'Interim Operational Data'!X$33, "N/A")</f>
        <v>8.5224407463439231</v>
      </c>
      <c r="Y42" s="5">
        <f>IFERROR(Y9*100/'Interim Operational Data'!Y$33, "N/A")</f>
        <v>7.916666666666667</v>
      </c>
    </row>
    <row r="43" spans="1:25" x14ac:dyDescent="0.3">
      <c r="A43" s="85" t="s">
        <v>0</v>
      </c>
      <c r="B43" s="2"/>
      <c r="C43" s="2"/>
      <c r="D43" s="2"/>
      <c r="E43" s="2"/>
      <c r="F43" s="2"/>
      <c r="G43" s="2"/>
      <c r="H43" s="2"/>
      <c r="I43" s="2"/>
      <c r="J43" s="2"/>
      <c r="K43" s="2"/>
      <c r="L43" s="2"/>
      <c r="M43" s="2"/>
      <c r="N43" s="2"/>
      <c r="O43" s="2"/>
      <c r="P43" s="2"/>
      <c r="Q43" s="2"/>
      <c r="R43" s="2"/>
      <c r="S43" s="2"/>
      <c r="T43" s="2"/>
      <c r="U43" s="2"/>
      <c r="V43" s="2"/>
      <c r="W43" s="2"/>
      <c r="X43" s="2"/>
      <c r="Y43" s="2"/>
    </row>
    <row r="44" spans="1:25" x14ac:dyDescent="0.3">
      <c r="A44" s="85" t="str">
        <f>("Ancillary Revenue -: [cents/" &amp;'Annual Operational Data'!$A$33 &amp; "]")</f>
        <v>Ancillary Revenue -: [cents/ASMs]</v>
      </c>
      <c r="B44" s="5">
        <f>IFERROR(B11*100/'Interim Operational Data'!B$33, "N/A")</f>
        <v>0</v>
      </c>
      <c r="C44" s="5">
        <f>IFERROR(C11*100/'Interim Operational Data'!C$33, "N/A")</f>
        <v>0</v>
      </c>
      <c r="D44" s="5">
        <f>IFERROR(D11*100/'Interim Operational Data'!D$33, "N/A")</f>
        <v>0</v>
      </c>
      <c r="E44" s="5">
        <f>IFERROR(E11*100/'Interim Operational Data'!E$33, "N/A")</f>
        <v>0</v>
      </c>
      <c r="F44" s="5">
        <f>IFERROR(F11*100/'Interim Operational Data'!F$33, "N/A")</f>
        <v>0</v>
      </c>
      <c r="G44" s="5">
        <f>IFERROR(G11*100/'Interim Operational Data'!G$33, "N/A")</f>
        <v>0</v>
      </c>
      <c r="H44" s="5">
        <f>IFERROR(H11*100/'Interim Operational Data'!H$33, "N/A")</f>
        <v>0</v>
      </c>
      <c r="I44" s="5">
        <f>IFERROR(I11*100/'Interim Operational Data'!I$33, "N/A")</f>
        <v>0</v>
      </c>
      <c r="J44" s="5">
        <f>IFERROR(J11*100/'Interim Operational Data'!J$33, "N/A")</f>
        <v>0</v>
      </c>
      <c r="K44" s="5">
        <f>IFERROR(K11*100/'Interim Operational Data'!K$33, "N/A")</f>
        <v>0</v>
      </c>
      <c r="L44" s="5">
        <f>IFERROR(L11*100/'Interim Operational Data'!L$33, "N/A")</f>
        <v>0</v>
      </c>
      <c r="M44" s="5">
        <f>IFERROR(M11*100/'Interim Operational Data'!M$33, "N/A")</f>
        <v>0</v>
      </c>
      <c r="N44" s="5">
        <f>IFERROR(N11*100/'Interim Operational Data'!N$33, "N/A")</f>
        <v>0</v>
      </c>
      <c r="O44" s="5">
        <f>IFERROR(O11*100/'Interim Operational Data'!O$33, "N/A")</f>
        <v>0</v>
      </c>
      <c r="P44" s="5">
        <f>IFERROR(P11*100/'Interim Operational Data'!P$33, "N/A")</f>
        <v>0</v>
      </c>
      <c r="Q44" s="5">
        <f>IFERROR(Q11*100/'Interim Operational Data'!Q$33, "N/A")</f>
        <v>0</v>
      </c>
      <c r="R44" s="5">
        <f>IFERROR(R11*100/'Interim Operational Data'!R$33, "N/A")</f>
        <v>0</v>
      </c>
      <c r="S44" s="5">
        <f>IFERROR(S11*100/'Interim Operational Data'!S$33, "N/A")</f>
        <v>0</v>
      </c>
      <c r="T44" s="5">
        <f>IFERROR(T11*100/'Interim Operational Data'!T$33, "N/A")</f>
        <v>0</v>
      </c>
      <c r="U44" s="5">
        <f>IFERROR(U11*100/'Interim Operational Data'!U$33, "N/A")</f>
        <v>0</v>
      </c>
      <c r="V44" s="5">
        <f>IFERROR(V11*100/'Interim Operational Data'!V$33, "N/A")</f>
        <v>0</v>
      </c>
      <c r="W44" s="5">
        <f>IFERROR(W11*100/'Interim Operational Data'!W$33, "N/A")</f>
        <v>0</v>
      </c>
      <c r="X44" s="5">
        <f>IFERROR(X11*100/'Interim Operational Data'!X$33, "N/A")</f>
        <v>0</v>
      </c>
      <c r="Y44" s="5">
        <f>IFERROR(Y11*100/'Interim Operational Data'!Y$33, "N/A")</f>
        <v>0</v>
      </c>
    </row>
    <row r="45" spans="1:25" x14ac:dyDescent="0.3">
      <c r="A45" s="85" t="s">
        <v>0</v>
      </c>
      <c r="B45" s="2"/>
      <c r="C45" s="2"/>
      <c r="D45" s="2"/>
      <c r="E45" s="2"/>
      <c r="F45" s="2"/>
      <c r="G45" s="2"/>
      <c r="H45" s="2"/>
      <c r="I45" s="2"/>
      <c r="J45" s="2"/>
      <c r="K45" s="2"/>
      <c r="L45" s="2"/>
      <c r="M45" s="2"/>
      <c r="N45" s="2"/>
      <c r="O45" s="2"/>
      <c r="P45" s="2"/>
      <c r="Q45" s="2"/>
      <c r="R45" s="2"/>
      <c r="S45" s="2"/>
      <c r="T45" s="2"/>
      <c r="U45" s="2"/>
      <c r="V45" s="2"/>
      <c r="W45" s="2"/>
      <c r="X45" s="2"/>
      <c r="Y45" s="2"/>
    </row>
    <row r="46" spans="1:25" x14ac:dyDescent="0.3">
      <c r="A46" s="85" t="str">
        <f>("Cargo Revenue -: [cents/"&amp;'Annual Operational Data'!$A$33 &amp; "]")</f>
        <v>Cargo Revenue -: [cents/ASMs]</v>
      </c>
      <c r="B46" s="5">
        <f>IFERROR(B13*100/'Interim Operational Data'!B$33, "N/A")</f>
        <v>0.70357240250886288</v>
      </c>
      <c r="C46" s="5">
        <f>IFERROR(C13*100/'Interim Operational Data'!C$33, "N/A")</f>
        <v>0.6109676137492549</v>
      </c>
      <c r="D46" s="5">
        <f>IFERROR(D13*100/'Interim Operational Data'!D$33, "N/A")</f>
        <v>0.50562991289568726</v>
      </c>
      <c r="E46" s="5">
        <f>IFERROR(E13*100/'Interim Operational Data'!E$33, "N/A")</f>
        <v>0.71545921882452701</v>
      </c>
      <c r="F46" s="5">
        <f>IFERROR(F13*100/'Interim Operational Data'!F$33, "N/A")</f>
        <v>0.58488377955932036</v>
      </c>
      <c r="G46" s="5">
        <f>IFERROR(G13*100/'Interim Operational Data'!G$33, "N/A")</f>
        <v>0.49677765843179378</v>
      </c>
      <c r="H46" s="5">
        <f>IFERROR(H13*100/'Interim Operational Data'!H$33, "N/A")</f>
        <v>0.45681354979267691</v>
      </c>
      <c r="I46" s="5">
        <f>IFERROR(I13*100/'Interim Operational Data'!I$33, "N/A")</f>
        <v>0.70164320311439043</v>
      </c>
      <c r="J46" s="5">
        <f>IFERROR(J13*100/'Interim Operational Data'!J$33, "N/A")</f>
        <v>0.58530619376255788</v>
      </c>
      <c r="K46" s="5">
        <f>IFERROR(K13*100/'Interim Operational Data'!K$33, "N/A")</f>
        <v>0.60732736522459285</v>
      </c>
      <c r="L46" s="5">
        <f>IFERROR(L13*100/'Interim Operational Data'!L$33, "N/A")</f>
        <v>0.57648953301127215</v>
      </c>
      <c r="M46" s="5">
        <f>IFERROR(M13*100/'Interim Operational Data'!M$33, "N/A")</f>
        <v>0.7564796825265595</v>
      </c>
      <c r="N46" s="5">
        <f>IFERROR(N13*100/'Interim Operational Data'!N$33, "N/A")</f>
        <v>0.67573002976429897</v>
      </c>
      <c r="O46" s="5">
        <f>IFERROR(O13*100/'Interim Operational Data'!O$33, "N/A")</f>
        <v>0.73343356925446479</v>
      </c>
      <c r="P46" s="5">
        <f>IFERROR(P13*100/'Interim Operational Data'!P$33, "N/A")</f>
        <v>0.65787488306123065</v>
      </c>
      <c r="Q46" s="5">
        <f>IFERROR(Q13*100/'Interim Operational Data'!Q$33, "N/A")</f>
        <v>0.84772247831861869</v>
      </c>
      <c r="R46" s="5">
        <f>IFERROR(R13*100/'Interim Operational Data'!R$33, "N/A")</f>
        <v>0.68035055350553508</v>
      </c>
      <c r="S46" s="5">
        <f>IFERROR(S13*100/'Interim Operational Data'!S$33, "N/A")</f>
        <v>0.63418129702615555</v>
      </c>
      <c r="T46" s="5">
        <f>IFERROR(T13*100/'Interim Operational Data'!T$33, "N/A")</f>
        <v>0.54533690729272577</v>
      </c>
      <c r="U46" s="5">
        <f>IFERROR(U13*100/'Interim Operational Data'!U$33, "N/A")</f>
        <v>0.70371911770269757</v>
      </c>
      <c r="V46" s="5">
        <f>IFERROR(V13*100/'Interim Operational Data'!V$33, "N/A")</f>
        <v>0.63374590617157922</v>
      </c>
      <c r="W46" s="5">
        <f>IFERROR(W13*100/'Interim Operational Data'!W$33, "N/A")</f>
        <v>11.992866696388765</v>
      </c>
      <c r="X46" s="5">
        <f>IFERROR(X13*100/'Interim Operational Data'!X$33, "N/A")</f>
        <v>3.6308623298033282</v>
      </c>
      <c r="Y46" s="5">
        <f>IFERROR(Y13*100/'Interim Operational Data'!Y$33, "N/A")</f>
        <v>4.7666666666666666</v>
      </c>
    </row>
    <row r="47" spans="1:25" x14ac:dyDescent="0.3">
      <c r="A47" s="85" t="s">
        <v>0</v>
      </c>
      <c r="B47" s="2"/>
      <c r="C47" s="2"/>
      <c r="D47" s="2"/>
      <c r="E47" s="2"/>
      <c r="F47" s="2"/>
      <c r="G47" s="2"/>
      <c r="H47" s="2"/>
      <c r="I47" s="2"/>
      <c r="J47" s="2"/>
      <c r="K47" s="2"/>
      <c r="L47" s="2"/>
      <c r="M47" s="2"/>
      <c r="N47" s="2"/>
      <c r="O47" s="2"/>
      <c r="P47" s="2"/>
      <c r="Q47" s="2"/>
      <c r="R47" s="2"/>
      <c r="S47" s="2"/>
      <c r="T47" s="2"/>
      <c r="U47" s="2"/>
      <c r="V47" s="2"/>
      <c r="W47" s="2"/>
      <c r="X47" s="2"/>
      <c r="Y47" s="2"/>
    </row>
    <row r="48" spans="1:25" x14ac:dyDescent="0.3">
      <c r="A48" s="85" t="str">
        <f>("Other Revenue  -: [cents/"&amp;'Annual Operational Data'!$A$33&amp;"]")</f>
        <v>Other Revenue  -: [cents/ASMs]</v>
      </c>
      <c r="B48" s="5">
        <f>IFERROR(B15*100/'Interim Operational Data'!B$33, "N/A")</f>
        <v>1.8216525770384511</v>
      </c>
      <c r="C48" s="5">
        <f>IFERROR(C15*100/'Interim Operational Data'!C$33, "N/A")</f>
        <v>1.0381482217365388</v>
      </c>
      <c r="D48" s="5">
        <f>IFERROR(D15*100/'Interim Operational Data'!D$33, "N/A")</f>
        <v>0.79881028255789255</v>
      </c>
      <c r="E48" s="5">
        <f>IFERROR(E15*100/'Interim Operational Data'!E$33, "N/A")</f>
        <v>1.1182362605331495</v>
      </c>
      <c r="F48" s="5">
        <f>IFERROR(F15*100/'Interim Operational Data'!F$33, "N/A")</f>
        <v>1.8302828618968385</v>
      </c>
      <c r="G48" s="5">
        <f>IFERROR(G15*100/'Interim Operational Data'!G$33, "N/A")</f>
        <v>0.91299677765843179</v>
      </c>
      <c r="H48" s="5">
        <f>IFERROR(H15*100/'Interim Operational Data'!H$33, "N/A")</f>
        <v>0.75549933234942723</v>
      </c>
      <c r="I48" s="5">
        <f>IFERROR(I15*100/'Interim Operational Data'!I$33, "N/A")</f>
        <v>1.0637816305282695</v>
      </c>
      <c r="J48" s="5">
        <f>IFERROR(J15*100/'Interim Operational Data'!J$33, "N/A")</f>
        <v>1.8039661046562419</v>
      </c>
      <c r="K48" s="5">
        <f>IFERROR(K15*100/'Interim Operational Data'!K$33, "N/A")</f>
        <v>0.94254052135504984</v>
      </c>
      <c r="L48" s="5">
        <f>IFERROR(L15*100/'Interim Operational Data'!L$33, "N/A")</f>
        <v>0.71819645732689208</v>
      </c>
      <c r="M48" s="5">
        <f>IFERROR(M15*100/'Interim Operational Data'!M$33, "N/A")</f>
        <v>1.0582448017857882</v>
      </c>
      <c r="N48" s="5">
        <f>IFERROR(N15*100/'Interim Operational Data'!N$33, "N/A")</f>
        <v>1.6651918590620223</v>
      </c>
      <c r="O48" s="5">
        <f>IFERROR(O15*100/'Interim Operational Data'!O$33, "N/A")</f>
        <v>0.77743958340973263</v>
      </c>
      <c r="P48" s="5">
        <f>IFERROR(P15*100/'Interim Operational Data'!P$33, "N/A")</f>
        <v>0.54018167003651507</v>
      </c>
      <c r="Q48" s="5">
        <f>IFERROR(Q15*100/'Interim Operational Data'!Q$33, "N/A")</f>
        <v>0.91413391671224309</v>
      </c>
      <c r="R48" s="5">
        <f>IFERROR(R15*100/'Interim Operational Data'!R$33, "N/A")</f>
        <v>1.7681426814268142</v>
      </c>
      <c r="S48" s="5">
        <f>IFERROR(S15*100/'Interim Operational Data'!S$33, "N/A")</f>
        <v>0.86707273378717309</v>
      </c>
      <c r="T48" s="5">
        <f>IFERROR(T15*100/'Interim Operational Data'!T$33, "N/A")</f>
        <v>0.65317188896077882</v>
      </c>
      <c r="U48" s="5">
        <f>IFERROR(U15*100/'Interim Operational Data'!U$33, "N/A")</f>
        <v>1.0139608792705535</v>
      </c>
      <c r="V48" s="5">
        <f>IFERROR(V15*100/'Interim Operational Data'!V$33, "N/A")</f>
        <v>1.6162647271489941</v>
      </c>
      <c r="W48" s="5">
        <f>IFERROR(W15*100/'Interim Operational Data'!W$33, "N/A")</f>
        <v>2.2737405260811414</v>
      </c>
      <c r="X48" s="5">
        <f>IFERROR(X15*100/'Interim Operational Data'!X$33, "N/A")</f>
        <v>0.57152462598756093</v>
      </c>
      <c r="Y48" s="5">
        <f>IFERROR(Y15*100/'Interim Operational Data'!Y$33, "N/A")</f>
        <v>1.1000000000000001</v>
      </c>
    </row>
    <row r="49" spans="1:25" x14ac:dyDescent="0.3">
      <c r="A49" s="85" t="s">
        <v>0</v>
      </c>
      <c r="B49" s="2"/>
      <c r="C49" s="2"/>
      <c r="D49" s="2"/>
      <c r="E49" s="2"/>
      <c r="F49" s="2"/>
      <c r="G49" s="2"/>
      <c r="H49" s="2"/>
      <c r="I49" s="2"/>
      <c r="J49" s="2"/>
      <c r="K49" s="2"/>
      <c r="L49" s="2"/>
      <c r="M49" s="2"/>
      <c r="N49" s="2"/>
      <c r="O49" s="2"/>
      <c r="P49" s="2"/>
      <c r="Q49" s="2"/>
      <c r="R49" s="2"/>
      <c r="S49" s="2"/>
      <c r="T49" s="2"/>
      <c r="U49" s="2"/>
      <c r="V49" s="2"/>
      <c r="W49" s="2"/>
      <c r="X49" s="2"/>
      <c r="Y49" s="2"/>
    </row>
    <row r="50" spans="1:25" x14ac:dyDescent="0.3">
      <c r="A50" s="85" t="str">
        <f>("Total Cargo &amp; Other Revenue -: [cents/" &amp;'Annual Operational Data'!$A$33 &amp; "]")</f>
        <v>Total Cargo &amp; Other Revenue -: [cents/ASMs]</v>
      </c>
      <c r="B50" s="5">
        <f>IFERROR(B17*100/'Interim Operational Data'!B$33, "N/A")</f>
        <v>2.5252249795473141</v>
      </c>
      <c r="C50" s="5">
        <f>IFERROR(C17*100/'Interim Operational Data'!C$33, "N/A")</f>
        <v>1.6491158354857938</v>
      </c>
      <c r="D50" s="5">
        <f>IFERROR(D17*100/'Interim Operational Data'!D$33, "N/A")</f>
        <v>1.3044401954535798</v>
      </c>
      <c r="E50" s="5">
        <f>IFERROR(E17*100/'Interim Operational Data'!E$33, "N/A")</f>
        <v>1.8336954793576765</v>
      </c>
      <c r="F50" s="5">
        <f>IFERROR(F17*100/'Interim Operational Data'!F$33, "N/A")</f>
        <v>2.415166641456159</v>
      </c>
      <c r="G50" s="5">
        <f>IFERROR(G17*100/'Interim Operational Data'!G$33, "N/A")</f>
        <v>1.4097744360902256</v>
      </c>
      <c r="H50" s="5">
        <f>IFERROR(H17*100/'Interim Operational Data'!H$33, "N/A")</f>
        <v>1.2123128821421041</v>
      </c>
      <c r="I50" s="5">
        <f>IFERROR(I17*100/'Interim Operational Data'!I$33, "N/A")</f>
        <v>1.7654248336426599</v>
      </c>
      <c r="J50" s="5">
        <f>IFERROR(J17*100/'Interim Operational Data'!J$33, "N/A")</f>
        <v>2.3892722984187995</v>
      </c>
      <c r="K50" s="5">
        <f>IFERROR(K17*100/'Interim Operational Data'!K$33, "N/A")</f>
        <v>1.5498678865796427</v>
      </c>
      <c r="L50" s="5">
        <f>IFERROR(L17*100/'Interim Operational Data'!L$33, "N/A")</f>
        <v>1.2946859903381642</v>
      </c>
      <c r="M50" s="5">
        <f>IFERROR(M17*100/'Interim Operational Data'!M$33, "N/A")</f>
        <v>1.8147244843123476</v>
      </c>
      <c r="N50" s="5">
        <f>IFERROR(N17*100/'Interim Operational Data'!N$33, "N/A")</f>
        <v>2.3409218888263212</v>
      </c>
      <c r="O50" s="5">
        <f>IFERROR(O17*100/'Interim Operational Data'!O$33, "N/A")</f>
        <v>1.5108731526641974</v>
      </c>
      <c r="P50" s="5">
        <f>IFERROR(P17*100/'Interim Operational Data'!P$33, "N/A")</f>
        <v>1.1980565530977456</v>
      </c>
      <c r="Q50" s="5">
        <f>IFERROR(Q17*100/'Interim Operational Data'!Q$33, "N/A")</f>
        <v>1.7618563950308619</v>
      </c>
      <c r="R50" s="5">
        <f>IFERROR(R17*100/'Interim Operational Data'!R$33, "N/A")</f>
        <v>2.4484932349323492</v>
      </c>
      <c r="S50" s="5">
        <f>IFERROR(S17*100/'Interim Operational Data'!S$33, "N/A")</f>
        <v>1.5012540308133286</v>
      </c>
      <c r="T50" s="5">
        <f>IFERROR(T17*100/'Interim Operational Data'!T$33, "N/A")</f>
        <v>1.1985087962535046</v>
      </c>
      <c r="U50" s="5">
        <f>IFERROR(U17*100/'Interim Operational Data'!U$33, "N/A")</f>
        <v>1.717679996973251</v>
      </c>
      <c r="V50" s="5">
        <f>IFERROR(V17*100/'Interim Operational Data'!V$33, "N/A")</f>
        <v>2.2500106333205734</v>
      </c>
      <c r="W50" s="5">
        <f>IFERROR(W17*100/'Interim Operational Data'!W$33, "N/A")</f>
        <v>14.266607222469906</v>
      </c>
      <c r="X50" s="5">
        <f>IFERROR(X17*100/'Interim Operational Data'!X$33, "N/A")</f>
        <v>4.2023869557908888</v>
      </c>
      <c r="Y50" s="5">
        <f>IFERROR(Y17*100/'Interim Operational Data'!Y$33, "N/A")</f>
        <v>5.8666666666666663</v>
      </c>
    </row>
    <row r="51" spans="1:25" x14ac:dyDescent="0.3">
      <c r="A51" s="85" t="s">
        <v>0</v>
      </c>
      <c r="B51" s="2"/>
      <c r="C51" s="2"/>
      <c r="D51" s="2"/>
      <c r="E51" s="2"/>
      <c r="F51" s="2"/>
      <c r="G51" s="2"/>
      <c r="H51" s="2"/>
      <c r="I51" s="2"/>
      <c r="J51" s="2"/>
      <c r="K51" s="2"/>
      <c r="L51" s="2"/>
      <c r="M51" s="2"/>
      <c r="N51" s="2"/>
      <c r="O51" s="2"/>
      <c r="P51" s="2"/>
      <c r="Q51" s="2"/>
      <c r="R51" s="2"/>
      <c r="S51" s="2"/>
      <c r="T51" s="2"/>
      <c r="U51" s="2"/>
      <c r="V51" s="2"/>
      <c r="W51" s="2"/>
      <c r="X51" s="2"/>
      <c r="Y51" s="2"/>
    </row>
    <row r="52" spans="1:25" x14ac:dyDescent="0.3">
      <c r="A52" s="14" t="str">
        <f>("Total Revenue -: [cents/"&amp;'Annual Operational Data'!$A$33 &amp; "]")</f>
        <v>Total Revenue -: [cents/ASMs]</v>
      </c>
      <c r="B52" s="6">
        <f>IFERROR(B19*100/'Interim Operational Data'!B$33, "N/A")</f>
        <v>17.720207253886009</v>
      </c>
      <c r="C52" s="6">
        <f>IFERROR(C19*100/'Interim Operational Data'!C$33, "N/A")</f>
        <v>16.958076693820782</v>
      </c>
      <c r="D52" s="6">
        <f>IFERROR(D19*100/'Interim Operational Data'!D$33, "N/A")</f>
        <v>17.093690248565967</v>
      </c>
      <c r="E52" s="6">
        <f>IFERROR(E19*100/'Interim Operational Data'!E$33, "N/A")</f>
        <v>16.863638772589962</v>
      </c>
      <c r="F52" s="6">
        <f>IFERROR(F19*100/'Interim Operational Data'!F$33, "N/A")</f>
        <v>16.85574547471386</v>
      </c>
      <c r="G52" s="6">
        <f>IFERROR(G19*100/'Interim Operational Data'!G$33, "N/A")</f>
        <v>15.476190476190476</v>
      </c>
      <c r="H52" s="6">
        <f>IFERROR(H19*100/'Interim Operational Data'!H$33, "N/A")</f>
        <v>15.640593154824654</v>
      </c>
      <c r="I52" s="6">
        <f>IFERROR(I19*100/'Interim Operational Data'!I$33, "N/A")</f>
        <v>15.504051423656692</v>
      </c>
      <c r="J52" s="6">
        <f>IFERROR(J19*100/'Interim Operational Data'!J$33, "N/A")</f>
        <v>15.908098191665939</v>
      </c>
      <c r="K52" s="6">
        <f>IFERROR(K19*100/'Interim Operational Data'!K$33, "N/A")</f>
        <v>15.419805182001026</v>
      </c>
      <c r="L52" s="6">
        <f>IFERROR(L19*100/'Interim Operational Data'!L$33, "N/A")</f>
        <v>15.716586151368761</v>
      </c>
      <c r="M52" s="6">
        <f>IFERROR(M19*100/'Interim Operational Data'!M$33, "N/A")</f>
        <v>15.790996651647307</v>
      </c>
      <c r="N52" s="6">
        <f>IFERROR(N19*100/'Interim Operational Data'!N$33, "N/A")</f>
        <v>16.374386614109888</v>
      </c>
      <c r="O52" s="6">
        <f>IFERROR(O19*100/'Interim Operational Data'!O$33, "N/A")</f>
        <v>15.889838277897979</v>
      </c>
      <c r="P52" s="6">
        <f>IFERROR(P19*100/'Interim Operational Data'!P$33, "N/A")</f>
        <v>16.341249962277818</v>
      </c>
      <c r="Q52" s="6">
        <f>IFERROR(Q19*100/'Interim Operational Data'!Q$33, "N/A")</f>
        <v>16.587233377607625</v>
      </c>
      <c r="R52" s="6">
        <f>IFERROR(R19*100/'Interim Operational Data'!R$33, "N/A")</f>
        <v>17.116389913899138</v>
      </c>
      <c r="S52" s="6">
        <f>IFERROR(S19*100/'Interim Operational Data'!S$33, "N/A")</f>
        <v>17.044070225725548</v>
      </c>
      <c r="T52" s="6">
        <f>IFERROR(T19*100/'Interim Operational Data'!T$33, "N/A")</f>
        <v>17.108790091505686</v>
      </c>
      <c r="U52" s="6">
        <f>IFERROR(U19*100/'Interim Operational Data'!U$33, "N/A")</f>
        <v>16.526048957663349</v>
      </c>
      <c r="V52" s="6">
        <f>IFERROR(V19*100/'Interim Operational Data'!V$33, "N/A")</f>
        <v>15.830887669601463</v>
      </c>
      <c r="W52" s="6">
        <f>IFERROR(W19*100/'Interim Operational Data'!W$33, "N/A")</f>
        <v>23.495318769505126</v>
      </c>
      <c r="X52" s="6">
        <f>IFERROR(X19*100/'Interim Operational Data'!X$33, "N/A")</f>
        <v>12.724827702134812</v>
      </c>
      <c r="Y52" s="6">
        <f>IFERROR(Y19*100/'Interim Operational Data'!Y$33, "N/A")</f>
        <v>13.783333333333333</v>
      </c>
    </row>
    <row r="53" spans="1:25" x14ac:dyDescent="0.3">
      <c r="A53" s="85" t="s">
        <v>0</v>
      </c>
      <c r="B53" s="2"/>
      <c r="C53" s="2" t="str">
        <f ca="1">IFERROR(IF(Inputs!$E$14 = "Semi-annual",(C52/OFFSET(C52,0,-2,,))-1,(C52/OFFSET(C52,0,-4,,))-1),"")</f>
        <v/>
      </c>
      <c r="D53" s="2" t="str">
        <f ca="1">IFERROR(IF(Inputs!$E$14 = "Semi-annual",(D52/OFFSET(D52,0,-2,,))-1,(D52/OFFSET(D52,0,-4,,))-1),"")</f>
        <v/>
      </c>
      <c r="E53" s="2" t="str">
        <f ca="1">IFERROR(IF(Inputs!$E$14 = "Semi-annual",(E52/OFFSET(E52,0,-2,,))-1,(E52/OFFSET(E52,0,-4,,))-1),"")</f>
        <v/>
      </c>
      <c r="F53" s="2">
        <f ca="1">IFERROR(IF(Inputs!$E$14 = "Semi-annual",(F52/OFFSET(F52,0,-2,,))-1,(F52/OFFSET(F52,0,-4,,))-1),"")</f>
        <v>-4.8783954204744129E-2</v>
      </c>
      <c r="G53" s="2">
        <f ca="1">IFERROR(IF(Inputs!$E$14 = "Semi-annual",(G52/OFFSET(G52,0,-2,,))-1,(G52/OFFSET(G52,0,-4,,))-1),"")</f>
        <v>-8.7385276313220017E-2</v>
      </c>
      <c r="H53" s="2">
        <f ca="1">IFERROR(IF(Inputs!$E$14 = "Semi-annual",(H52/OFFSET(H52,0,-2,,))-1,(H52/OFFSET(H52,0,-4,,))-1),"")</f>
        <v>-8.5007805372114831E-2</v>
      </c>
      <c r="I53" s="2">
        <f ca="1">IFERROR(IF(Inputs!$E$14 = "Semi-annual",(I52/OFFSET(I52,0,-2,,))-1,(I52/OFFSET(I52,0,-4,,))-1),"")</f>
        <v>-8.0622418878132818E-2</v>
      </c>
      <c r="J53" s="2">
        <f ca="1">IFERROR(IF(Inputs!$E$14 = "Semi-annual",(J52/OFFSET(J52,0,-2,,))-1,(J52/OFFSET(J52,0,-4,,))-1),"")</f>
        <v>-5.6221024722373336E-2</v>
      </c>
      <c r="K53" s="2">
        <f ca="1">IFERROR(IF(Inputs!$E$14 = "Semi-annual",(K52/OFFSET(K52,0,-2,,))-1,(K52/OFFSET(K52,0,-4,,))-1),"")</f>
        <v>-3.6433574707029903E-3</v>
      </c>
      <c r="L53" s="2">
        <f ca="1">IFERROR(IF(Inputs!$E$14 = "Semi-annual",(L52/OFFSET(L52,0,-2,,))-1,(L52/OFFSET(L52,0,-4,,))-1),"")</f>
        <v>4.8587029783244695E-3</v>
      </c>
      <c r="M53" s="2">
        <f ca="1">IFERROR(IF(Inputs!$E$14 = "Semi-annual",(M52/OFFSET(M52,0,-2,,))-1,(M52/OFFSET(M52,0,-4,,))-1),"")</f>
        <v>1.8507757756323073E-2</v>
      </c>
      <c r="N53" s="2">
        <f ca="1">IFERROR(IF(Inputs!$E$14 = "Semi-annual",(N52/OFFSET(N52,0,-2,,))-1,(N52/OFFSET(N52,0,-4,,))-1),"")</f>
        <v>2.9311386994595789E-2</v>
      </c>
      <c r="O53" s="2">
        <f ca="1">IFERROR(IF(Inputs!$E$14 = "Semi-annual",(O52/OFFSET(O52,0,-2,,))-1,(O52/OFFSET(O52,0,-4,,))-1),"")</f>
        <v>3.0482427653859556E-2</v>
      </c>
      <c r="P53" s="2">
        <f ca="1">IFERROR(IF(Inputs!$E$14 = "Semi-annual",(P52/OFFSET(P52,0,-2,,))-1,(P52/OFFSET(P52,0,-4,,))-1),"")</f>
        <v>3.9745515017881594E-2</v>
      </c>
      <c r="Q53" s="2">
        <f ca="1">IFERROR(IF(Inputs!$E$14 = "Semi-annual",(Q52/OFFSET(Q52,0,-2,,))-1,(Q52/OFFSET(Q52,0,-4,,))-1),"")</f>
        <v>5.0423462402371833E-2</v>
      </c>
      <c r="R53" s="2">
        <f ca="1">IFERROR(IF(Inputs!$E$14 = "Semi-annual",(R52/OFFSET(R52,0,-2,,))-1,(R52/OFFSET(R52,0,-4,,))-1),"")</f>
        <v>4.5314876048539343E-2</v>
      </c>
      <c r="S53" s="2">
        <f ca="1">IFERROR(IF(Inputs!$E$14 = "Semi-annual",(S52/OFFSET(S52,0,-2,,))-1,(S52/OFFSET(S52,0,-4,,))-1),"")</f>
        <v>7.2639628399053802E-2</v>
      </c>
      <c r="T53" s="2">
        <f ca="1">IFERROR(IF(Inputs!$E$14 = "Semi-annual",(T52/OFFSET(T52,0,-2,,))-1,(T52/OFFSET(T52,0,-4,,))-1),"")</f>
        <v>4.6969487095519513E-2</v>
      </c>
      <c r="U53" s="2">
        <f ca="1">IFERROR(IF(Inputs!$E$14 = "Semi-annual",(U52/OFFSET(U52,0,-2,,))-1,(U52/OFFSET(U52,0,-4,,))-1),"")</f>
        <v>-3.6886452702156181E-3</v>
      </c>
      <c r="V53" s="2">
        <f ca="1">IFERROR(IF(Inputs!$E$14 = "Semi-annual",(V52/OFFSET(V52,0,-2,,))-1,(V52/OFFSET(V52,0,-4,,))-1),"")</f>
        <v>-7.5103584971139226E-2</v>
      </c>
      <c r="W53" s="2">
        <f ca="1">IFERROR(IF(Inputs!$E$14 = "Semi-annual",(W52/OFFSET(W52,0,-2,,))-1,(W52/OFFSET(W52,0,-4,,))-1),"")</f>
        <v>0.37850398750659653</v>
      </c>
      <c r="X53" s="2">
        <f ca="1">IFERROR(IF(Inputs!$E$14 = "Semi-annual",(X52/OFFSET(X52,0,-2,,))-1,(X52/OFFSET(X52,0,-4,,))-1),"")</f>
        <v>-0.25624035165101822</v>
      </c>
      <c r="Y53" s="2">
        <f ca="1">IFERROR(IF(Inputs!$E$14 = "Semi-annual",(Y52/OFFSET(Y52,0,-2,,))-1,(Y52/OFFSET(Y52,0,-4,,))-1),"")</f>
        <v>-0.16596317918192915</v>
      </c>
    </row>
    <row r="54" spans="1:25" x14ac:dyDescent="0.3">
      <c r="A54" s="8" t="str">
        <f>IF(Inputs!$E$10 = "miles", "Per RFTM:", "Per RFTK:")</f>
        <v>Per RFTM:</v>
      </c>
      <c r="B54" s="10"/>
      <c r="C54" s="10"/>
      <c r="D54" s="10"/>
      <c r="E54" s="10"/>
      <c r="F54" s="10"/>
      <c r="G54" s="10"/>
      <c r="H54" s="10"/>
      <c r="I54" s="10"/>
      <c r="J54" s="10"/>
      <c r="K54" s="10"/>
      <c r="L54" s="10"/>
      <c r="M54" s="10"/>
      <c r="N54" s="10"/>
      <c r="O54" s="10"/>
      <c r="P54" s="10"/>
      <c r="Q54" s="10"/>
      <c r="R54" s="10"/>
      <c r="S54" s="10"/>
      <c r="T54" s="10"/>
      <c r="U54" s="10"/>
      <c r="V54" s="10"/>
      <c r="W54" s="10"/>
      <c r="X54" s="10"/>
      <c r="Y54" s="10"/>
    </row>
    <row r="55" spans="1:25" x14ac:dyDescent="0.3">
      <c r="A55" s="85" t="str">
        <f>("Cargo Revenue -: [cents/"&amp;'Annual Operational Data'!$A$37 &amp; "]")</f>
        <v>Cargo Revenue -: [cents/RFTMs]</v>
      </c>
      <c r="B55" s="5" t="str">
        <f>IFERROR(B13*100/'Interim Operational Data'!B37,"N/A")</f>
        <v>N/A</v>
      </c>
      <c r="C55" s="5" t="str">
        <f>IFERROR(C13*100/'Interim Operational Data'!C37,"N/A")</f>
        <v>N/A</v>
      </c>
      <c r="D55" s="5" t="str">
        <f>IFERROR(D13*100/'Interim Operational Data'!D37,"N/A")</f>
        <v>N/A</v>
      </c>
      <c r="E55" s="5" t="str">
        <f>IFERROR(E13*100/'Interim Operational Data'!E37,"N/A")</f>
        <v>N/A</v>
      </c>
      <c r="F55" s="5" t="str">
        <f>IFERROR(F13*100/'Interim Operational Data'!F37,"N/A")</f>
        <v>N/A</v>
      </c>
      <c r="G55" s="5" t="str">
        <f>IFERROR(G13*100/'Interim Operational Data'!G37,"N/A")</f>
        <v>N/A</v>
      </c>
      <c r="H55" s="5" t="str">
        <f>IFERROR(H13*100/'Interim Operational Data'!H37,"N/A")</f>
        <v>N/A</v>
      </c>
      <c r="I55" s="5" t="str">
        <f>IFERROR(I13*100/'Interim Operational Data'!I37,"N/A")</f>
        <v>N/A</v>
      </c>
      <c r="J55" s="5" t="str">
        <f>IFERROR(J13*100/'Interim Operational Data'!J37,"N/A")</f>
        <v>N/A</v>
      </c>
      <c r="K55" s="5" t="str">
        <f>IFERROR(K13*100/'Interim Operational Data'!K37,"N/A")</f>
        <v>N/A</v>
      </c>
      <c r="L55" s="5" t="str">
        <f>IFERROR(L13*100/'Interim Operational Data'!L37,"N/A")</f>
        <v>N/A</v>
      </c>
      <c r="M55" s="5" t="str">
        <f>IFERROR(M13*100/'Interim Operational Data'!M37,"N/A")</f>
        <v>N/A</v>
      </c>
      <c r="N55" s="5" t="str">
        <f>IFERROR(N13*100/'Interim Operational Data'!N37,"N/A")</f>
        <v>N/A</v>
      </c>
      <c r="O55" s="5" t="str">
        <f>IFERROR(O13*100/'Interim Operational Data'!O37,"N/A")</f>
        <v>N/A</v>
      </c>
      <c r="P55" s="5" t="str">
        <f>IFERROR(P13*100/'Interim Operational Data'!P37,"N/A")</f>
        <v>N/A</v>
      </c>
      <c r="Q55" s="5" t="str">
        <f>IFERROR(Q13*100/'Interim Operational Data'!Q37,"N/A")</f>
        <v>N/A</v>
      </c>
      <c r="R55" s="5" t="str">
        <f>IFERROR(R13*100/'Interim Operational Data'!R37,"N/A")</f>
        <v>N/A</v>
      </c>
      <c r="S55" s="5" t="str">
        <f>IFERROR(S13*100/'Interim Operational Data'!S37,"N/A")</f>
        <v>N/A</v>
      </c>
      <c r="T55" s="5" t="str">
        <f>IFERROR(T13*100/'Interim Operational Data'!T37,"N/A")</f>
        <v>N/A</v>
      </c>
      <c r="U55" s="5" t="str">
        <f>IFERROR(U13*100/'Interim Operational Data'!U37,"N/A")</f>
        <v>N/A</v>
      </c>
      <c r="V55" s="5" t="str">
        <f>IFERROR(V13*100/'Interim Operational Data'!V37,"N/A")</f>
        <v>N/A</v>
      </c>
      <c r="W55" s="5" t="str">
        <f>IFERROR(W13*100/'Interim Operational Data'!W37,"N/A")</f>
        <v>N/A</v>
      </c>
      <c r="X55" s="5" t="str">
        <f>IFERROR(X13*100/'Interim Operational Data'!X37,"N/A")</f>
        <v>N/A</v>
      </c>
      <c r="Y55" s="5" t="str">
        <f>IFERROR(Y13*100/'Interim Operational Data'!Y37,"N/A")</f>
        <v>N/A</v>
      </c>
    </row>
    <row r="56" spans="1:25" x14ac:dyDescent="0.3">
      <c r="A56" s="85" t="s">
        <v>0</v>
      </c>
      <c r="B56" s="61"/>
      <c r="C56" s="2" t="str">
        <f ca="1">IFERROR(IF(Inputs!$E$14 = "Semi-annual",(C55/OFFSET(C55,0,-2,,))-1,(C55/OFFSET(C55,0,-4,,))-1),"")</f>
        <v/>
      </c>
      <c r="D56" s="2" t="str">
        <f ca="1">IFERROR(IF(Inputs!$E$14 = "Semi-annual",(D55/OFFSET(D55,0,-2,,))-1,(D55/OFFSET(D55,0,-4,,))-1),"")</f>
        <v/>
      </c>
      <c r="E56" s="2" t="str">
        <f ca="1">IFERROR(IF(Inputs!$E$14 = "Semi-annual",(E55/OFFSET(E55,0,-2,,))-1,(E55/OFFSET(E55,0,-4,,))-1),"")</f>
        <v/>
      </c>
      <c r="F56" s="2" t="str">
        <f ca="1">IFERROR(IF(Inputs!$E$14 = "Semi-annual",(F55/OFFSET(F55,0,-2,,))-1,(F55/OFFSET(F55,0,-4,,))-1),"")</f>
        <v/>
      </c>
      <c r="G56" s="2" t="str">
        <f ca="1">IFERROR(IF(Inputs!$E$14 = "Semi-annual",(G55/OFFSET(G55,0,-2,,))-1,(G55/OFFSET(G55,0,-4,,))-1),"")</f>
        <v/>
      </c>
      <c r="H56" s="2" t="str">
        <f ca="1">IFERROR(IF(Inputs!$E$14 = "Semi-annual",(H55/OFFSET(H55,0,-2,,))-1,(H55/OFFSET(H55,0,-4,,))-1),"")</f>
        <v/>
      </c>
      <c r="I56" s="2" t="str">
        <f ca="1">IFERROR(IF(Inputs!$E$14 = "Semi-annual",(I55/OFFSET(I55,0,-2,,))-1,(I55/OFFSET(I55,0,-4,,))-1),"")</f>
        <v/>
      </c>
      <c r="J56" s="2" t="str">
        <f ca="1">IFERROR(IF(Inputs!$E$14 = "Semi-annual",(J55/OFFSET(J55,0,-2,,))-1,(J55/OFFSET(J55,0,-4,,))-1),"")</f>
        <v/>
      </c>
      <c r="K56" s="2" t="str">
        <f ca="1">IFERROR(IF(Inputs!$E$14 = "Semi-annual",(K55/OFFSET(K55,0,-2,,))-1,(K55/OFFSET(K55,0,-4,,))-1),"")</f>
        <v/>
      </c>
      <c r="L56" s="2" t="str">
        <f ca="1">IFERROR(IF(Inputs!$E$14 = "Semi-annual",(L55/OFFSET(L55,0,-2,,))-1,(L55/OFFSET(L55,0,-4,,))-1),"")</f>
        <v/>
      </c>
      <c r="M56" s="2" t="str">
        <f ca="1">IFERROR(IF(Inputs!$E$14 = "Semi-annual",(M55/OFFSET(M55,0,-2,,))-1,(M55/OFFSET(M55,0,-4,,))-1),"")</f>
        <v/>
      </c>
      <c r="N56" s="2" t="str">
        <f ca="1">IFERROR(IF(Inputs!$E$14 = "Semi-annual",(N55/OFFSET(N55,0,-2,,))-1,(N55/OFFSET(N55,0,-4,,))-1),"")</f>
        <v/>
      </c>
      <c r="O56" s="2" t="str">
        <f ca="1">IFERROR(IF(Inputs!$E$14 = "Semi-annual",(O55/OFFSET(O55,0,-2,,))-1,(O55/OFFSET(O55,0,-4,,))-1),"")</f>
        <v/>
      </c>
      <c r="P56" s="2" t="str">
        <f ca="1">IFERROR(IF(Inputs!$E$14 = "Semi-annual",(P55/OFFSET(P55,0,-2,,))-1,(P55/OFFSET(P55,0,-4,,))-1),"")</f>
        <v/>
      </c>
      <c r="Q56" s="2" t="str">
        <f ca="1">IFERROR(IF(Inputs!$E$14 = "Semi-annual",(Q55/OFFSET(Q55,0,-2,,))-1,(Q55/OFFSET(Q55,0,-4,,))-1),"")</f>
        <v/>
      </c>
      <c r="R56" s="2" t="str">
        <f ca="1">IFERROR(IF(Inputs!$E$14 = "Semi-annual",(R55/OFFSET(R55,0,-2,,))-1,(R55/OFFSET(R55,0,-4,,))-1),"")</f>
        <v/>
      </c>
      <c r="S56" s="2" t="str">
        <f ca="1">IFERROR(IF(Inputs!$E$14 = "Semi-annual",(S55/OFFSET(S55,0,-2,,))-1,(S55/OFFSET(S55,0,-4,,))-1),"")</f>
        <v/>
      </c>
      <c r="T56" s="2" t="str">
        <f ca="1">IFERROR(IF(Inputs!$E$14 = "Semi-annual",(T55/OFFSET(T55,0,-2,,))-1,(T55/OFFSET(T55,0,-4,,))-1),"")</f>
        <v/>
      </c>
      <c r="U56" s="2" t="str">
        <f ca="1">IFERROR(IF(Inputs!$E$14 = "Semi-annual",(U55/OFFSET(U55,0,-2,,))-1,(U55/OFFSET(U55,0,-4,,))-1),"")</f>
        <v/>
      </c>
      <c r="V56" s="2" t="str">
        <f ca="1">IFERROR(IF(Inputs!$E$14 = "Semi-annual",(V55/OFFSET(V55,0,-2,,))-1,(V55/OFFSET(V55,0,-4,,))-1),"")</f>
        <v/>
      </c>
      <c r="W56" s="2" t="str">
        <f ca="1">IFERROR(IF(Inputs!$E$14 = "Semi-annual",(W55/OFFSET(W55,0,-2,,))-1,(W55/OFFSET(W55,0,-4,,))-1),"")</f>
        <v/>
      </c>
      <c r="X56" s="2" t="str">
        <f ca="1">IFERROR(IF(Inputs!$E$14 = "Semi-annual",(X55/OFFSET(X55,0,-2,,))-1,(X55/OFFSET(X55,0,-4,,))-1),"")</f>
        <v/>
      </c>
      <c r="Y56" s="2" t="str">
        <f ca="1">IFERROR(IF(Inputs!$E$14 = "Semi-annual",(Y55/OFFSET(Y55,0,-2,,))-1,(Y55/OFFSET(Y55,0,-4,,))-1),"")</f>
        <v/>
      </c>
    </row>
    <row r="57" spans="1:25" x14ac:dyDescent="0.3">
      <c r="A57" s="8" t="str">
        <f>IF(Inputs!$E$10 = "miles", "Per RTM:", "Per RTK:")</f>
        <v>Per RTM:</v>
      </c>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5" x14ac:dyDescent="0.3">
      <c r="A58" s="85" t="str">
        <f>("Passenger Revenue -: [cents/" &amp;'Annual Operational Data'!$A$43 &amp; "]")</f>
        <v>Passenger Revenue -: [cents/RTMs]</v>
      </c>
      <c r="B58" s="5" t="str">
        <f>IFERROR(B9*100/'Interim Operational Data'!B$43, "N/A")</f>
        <v>N/A</v>
      </c>
      <c r="C58" s="5" t="str">
        <f>IFERROR(C9*100/'Interim Operational Data'!C$43, "N/A")</f>
        <v>N/A</v>
      </c>
      <c r="D58" s="5" t="str">
        <f>IFERROR(D9*100/'Interim Operational Data'!D$43, "N/A")</f>
        <v>N/A</v>
      </c>
      <c r="E58" s="5" t="str">
        <f>IFERROR(E9*100/'Interim Operational Data'!E$43, "N/A")</f>
        <v>N/A</v>
      </c>
      <c r="F58" s="5" t="str">
        <f>IFERROR(F9*100/'Interim Operational Data'!F$43, "N/A")</f>
        <v>N/A</v>
      </c>
      <c r="G58" s="5" t="str">
        <f>IFERROR(G9*100/'Interim Operational Data'!G$43, "N/A")</f>
        <v>N/A</v>
      </c>
      <c r="H58" s="5" t="str">
        <f>IFERROR(H9*100/'Interim Operational Data'!H$43, "N/A")</f>
        <v>N/A</v>
      </c>
      <c r="I58" s="5" t="str">
        <f>IFERROR(I9*100/'Interim Operational Data'!I$43, "N/A")</f>
        <v>N/A</v>
      </c>
      <c r="J58" s="5" t="str">
        <f>IFERROR(J9*100/'Interim Operational Data'!J$43, "N/A")</f>
        <v>N/A</v>
      </c>
      <c r="K58" s="5" t="str">
        <f>IFERROR(K9*100/'Interim Operational Data'!K$43, "N/A")</f>
        <v>N/A</v>
      </c>
      <c r="L58" s="5" t="str">
        <f>IFERROR(L9*100/'Interim Operational Data'!L$43, "N/A")</f>
        <v>N/A</v>
      </c>
      <c r="M58" s="5" t="str">
        <f>IFERROR(M9*100/'Interim Operational Data'!M$43, "N/A")</f>
        <v>N/A</v>
      </c>
      <c r="N58" s="5" t="str">
        <f>IFERROR(N9*100/'Interim Operational Data'!N$43, "N/A")</f>
        <v>N/A</v>
      </c>
      <c r="O58" s="5" t="str">
        <f>IFERROR(O9*100/'Interim Operational Data'!O$43, "N/A")</f>
        <v>N/A</v>
      </c>
      <c r="P58" s="5" t="str">
        <f>IFERROR(P9*100/'Interim Operational Data'!P$43, "N/A")</f>
        <v>N/A</v>
      </c>
      <c r="Q58" s="5" t="str">
        <f>IFERROR(Q9*100/'Interim Operational Data'!Q$43, "N/A")</f>
        <v>N/A</v>
      </c>
      <c r="R58" s="5" t="str">
        <f>IFERROR(R9*100/'Interim Operational Data'!R$43, "N/A")</f>
        <v>N/A</v>
      </c>
      <c r="S58" s="5" t="str">
        <f>IFERROR(S9*100/'Interim Operational Data'!S$43, "N/A")</f>
        <v>N/A</v>
      </c>
      <c r="T58" s="5" t="str">
        <f>IFERROR(T9*100/'Interim Operational Data'!T$43, "N/A")</f>
        <v>N/A</v>
      </c>
      <c r="U58" s="5" t="str">
        <f>IFERROR(U9*100/'Interim Operational Data'!U$43, "N/A")</f>
        <v>N/A</v>
      </c>
      <c r="V58" s="5" t="str">
        <f>IFERROR(V9*100/'Interim Operational Data'!V$43, "N/A")</f>
        <v>N/A</v>
      </c>
      <c r="W58" s="5" t="str">
        <f>IFERROR(W9*100/'Interim Operational Data'!W$43, "N/A")</f>
        <v>N/A</v>
      </c>
      <c r="X58" s="5" t="str">
        <f>IFERROR(X9*100/'Interim Operational Data'!X$43, "N/A")</f>
        <v>N/A</v>
      </c>
      <c r="Y58" s="5" t="str">
        <f>IFERROR(Y9*100/'Interim Operational Data'!Y$43, "N/A")</f>
        <v>N/A</v>
      </c>
    </row>
    <row r="59" spans="1:25" x14ac:dyDescent="0.3">
      <c r="A59" s="85" t="s">
        <v>0</v>
      </c>
      <c r="B59" s="61"/>
      <c r="C59" s="61"/>
      <c r="D59" s="61"/>
      <c r="E59" s="61"/>
      <c r="F59" s="61"/>
      <c r="G59" s="61"/>
      <c r="H59" s="61"/>
      <c r="I59" s="61"/>
      <c r="J59" s="61"/>
      <c r="K59" s="61"/>
      <c r="L59" s="61"/>
      <c r="M59" s="61"/>
      <c r="N59" s="61"/>
      <c r="O59" s="61"/>
      <c r="P59" s="61"/>
      <c r="Q59" s="61"/>
      <c r="R59" s="61"/>
      <c r="S59" s="61"/>
      <c r="T59" s="61"/>
      <c r="U59" s="61"/>
      <c r="V59" s="61"/>
      <c r="W59" s="61"/>
      <c r="X59" s="61"/>
      <c r="Y59" s="61"/>
    </row>
    <row r="60" spans="1:25" x14ac:dyDescent="0.3">
      <c r="A60" s="85" t="str">
        <f>("Cargo Revenue -: [cents/"&amp;'Annual Operational Data'!$A$43 &amp; "]")</f>
        <v>Cargo Revenue -: [cents/RTMs]</v>
      </c>
      <c r="B60" s="5" t="str">
        <f>IFERROR(B13*100/'Interim Operational Data'!B$43, "N/A")</f>
        <v>N/A</v>
      </c>
      <c r="C60" s="5" t="str">
        <f>IFERROR(C13*100/'Interim Operational Data'!C$43, "N/A")</f>
        <v>N/A</v>
      </c>
      <c r="D60" s="5" t="str">
        <f>IFERROR(D13*100/'Interim Operational Data'!D$43, "N/A")</f>
        <v>N/A</v>
      </c>
      <c r="E60" s="5" t="str">
        <f>IFERROR(E13*100/'Interim Operational Data'!E$43, "N/A")</f>
        <v>N/A</v>
      </c>
      <c r="F60" s="5" t="str">
        <f>IFERROR(F13*100/'Interim Operational Data'!F$43, "N/A")</f>
        <v>N/A</v>
      </c>
      <c r="G60" s="5" t="str">
        <f>IFERROR(G13*100/'Interim Operational Data'!G$43, "N/A")</f>
        <v>N/A</v>
      </c>
      <c r="H60" s="5" t="str">
        <f>IFERROR(H13*100/'Interim Operational Data'!H$43, "N/A")</f>
        <v>N/A</v>
      </c>
      <c r="I60" s="5" t="str">
        <f>IFERROR(I13*100/'Interim Operational Data'!I$43, "N/A")</f>
        <v>N/A</v>
      </c>
      <c r="J60" s="5" t="str">
        <f>IFERROR(J13*100/'Interim Operational Data'!J$43, "N/A")</f>
        <v>N/A</v>
      </c>
      <c r="K60" s="5" t="str">
        <f>IFERROR(K13*100/'Interim Operational Data'!K$43, "N/A")</f>
        <v>N/A</v>
      </c>
      <c r="L60" s="5" t="str">
        <f>IFERROR(L13*100/'Interim Operational Data'!L$43, "N/A")</f>
        <v>N/A</v>
      </c>
      <c r="M60" s="5" t="str">
        <f>IFERROR(M13*100/'Interim Operational Data'!M$43, "N/A")</f>
        <v>N/A</v>
      </c>
      <c r="N60" s="5" t="str">
        <f>IFERROR(N13*100/'Interim Operational Data'!N$43, "N/A")</f>
        <v>N/A</v>
      </c>
      <c r="O60" s="5" t="str">
        <f>IFERROR(O13*100/'Interim Operational Data'!O$43, "N/A")</f>
        <v>N/A</v>
      </c>
      <c r="P60" s="5" t="str">
        <f>IFERROR(P13*100/'Interim Operational Data'!P$43, "N/A")</f>
        <v>N/A</v>
      </c>
      <c r="Q60" s="5" t="str">
        <f>IFERROR(Q13*100/'Interim Operational Data'!Q$43, "N/A")</f>
        <v>N/A</v>
      </c>
      <c r="R60" s="5" t="str">
        <f>IFERROR(R13*100/'Interim Operational Data'!R$43, "N/A")</f>
        <v>N/A</v>
      </c>
      <c r="S60" s="5" t="str">
        <f>IFERROR(S13*100/'Interim Operational Data'!S$43, "N/A")</f>
        <v>N/A</v>
      </c>
      <c r="T60" s="5" t="str">
        <f>IFERROR(T13*100/'Interim Operational Data'!T$43, "N/A")</f>
        <v>N/A</v>
      </c>
      <c r="U60" s="5" t="str">
        <f>IFERROR(U13*100/'Interim Operational Data'!U$43, "N/A")</f>
        <v>N/A</v>
      </c>
      <c r="V60" s="5" t="str">
        <f>IFERROR(V13*100/'Interim Operational Data'!V$43, "N/A")</f>
        <v>N/A</v>
      </c>
      <c r="W60" s="5" t="str">
        <f>IFERROR(W13*100/'Interim Operational Data'!W$43, "N/A")</f>
        <v>N/A</v>
      </c>
      <c r="X60" s="5" t="str">
        <f>IFERROR(X13*100/'Interim Operational Data'!X$43, "N/A")</f>
        <v>N/A</v>
      </c>
      <c r="Y60" s="5" t="str">
        <f>IFERROR(Y13*100/'Interim Operational Data'!Y$43, "N/A")</f>
        <v>N/A</v>
      </c>
    </row>
    <row r="61" spans="1:25" x14ac:dyDescent="0.3">
      <c r="A61" s="85" t="s">
        <v>0</v>
      </c>
      <c r="B61" s="61"/>
      <c r="C61" s="61"/>
      <c r="D61" s="61"/>
      <c r="E61" s="61"/>
      <c r="F61" s="61"/>
      <c r="G61" s="61"/>
      <c r="H61" s="61"/>
      <c r="I61" s="61"/>
      <c r="J61" s="61"/>
      <c r="K61" s="61"/>
      <c r="L61" s="61"/>
      <c r="M61" s="61"/>
      <c r="N61" s="61"/>
      <c r="O61" s="61"/>
      <c r="P61" s="61"/>
      <c r="Q61" s="61"/>
      <c r="R61" s="61"/>
      <c r="S61" s="61"/>
      <c r="T61" s="61"/>
      <c r="U61" s="61"/>
      <c r="V61" s="61"/>
      <c r="W61" s="61"/>
      <c r="X61" s="61"/>
      <c r="Y61" s="61"/>
    </row>
    <row r="62" spans="1:25" x14ac:dyDescent="0.3">
      <c r="A62" s="85" t="str">
        <f>("Other Revenue  -: [cents/"&amp;'Annual Operational Data'!$A$43&amp;"]")</f>
        <v>Other Revenue  -: [cents/RTMs]</v>
      </c>
      <c r="B62" s="5" t="str">
        <f>IFERROR(B15*100/'Interim Operational Data'!B$43, "N/A")</f>
        <v>N/A</v>
      </c>
      <c r="C62" s="5" t="str">
        <f>IFERROR(C15*100/'Interim Operational Data'!C$43, "N/A")</f>
        <v>N/A</v>
      </c>
      <c r="D62" s="5" t="str">
        <f>IFERROR(D15*100/'Interim Operational Data'!D$43, "N/A")</f>
        <v>N/A</v>
      </c>
      <c r="E62" s="5" t="str">
        <f>IFERROR(E15*100/'Interim Operational Data'!E$43, "N/A")</f>
        <v>N/A</v>
      </c>
      <c r="F62" s="5" t="str">
        <f>IFERROR(F15*100/'Interim Operational Data'!F$43, "N/A")</f>
        <v>N/A</v>
      </c>
      <c r="G62" s="5" t="str">
        <f>IFERROR(G15*100/'Interim Operational Data'!G$43, "N/A")</f>
        <v>N/A</v>
      </c>
      <c r="H62" s="5" t="str">
        <f>IFERROR(H15*100/'Interim Operational Data'!H$43, "N/A")</f>
        <v>N/A</v>
      </c>
      <c r="I62" s="5" t="str">
        <f>IFERROR(I15*100/'Interim Operational Data'!I$43, "N/A")</f>
        <v>N/A</v>
      </c>
      <c r="J62" s="5" t="str">
        <f>IFERROR(J15*100/'Interim Operational Data'!J$43, "N/A")</f>
        <v>N/A</v>
      </c>
      <c r="K62" s="5" t="str">
        <f>IFERROR(K15*100/'Interim Operational Data'!K$43, "N/A")</f>
        <v>N/A</v>
      </c>
      <c r="L62" s="5" t="str">
        <f>IFERROR(L15*100/'Interim Operational Data'!L$43, "N/A")</f>
        <v>N/A</v>
      </c>
      <c r="M62" s="5" t="str">
        <f>IFERROR(M15*100/'Interim Operational Data'!M$43, "N/A")</f>
        <v>N/A</v>
      </c>
      <c r="N62" s="5" t="str">
        <f>IFERROR(N15*100/'Interim Operational Data'!N$43, "N/A")</f>
        <v>N/A</v>
      </c>
      <c r="O62" s="5" t="str">
        <f>IFERROR(O15*100/'Interim Operational Data'!O$43, "N/A")</f>
        <v>N/A</v>
      </c>
      <c r="P62" s="5" t="str">
        <f>IFERROR(P15*100/'Interim Operational Data'!P$43, "N/A")</f>
        <v>N/A</v>
      </c>
      <c r="Q62" s="5" t="str">
        <f>IFERROR(Q15*100/'Interim Operational Data'!Q$43, "N/A")</f>
        <v>N/A</v>
      </c>
      <c r="R62" s="5" t="str">
        <f>IFERROR(R15*100/'Interim Operational Data'!R$43, "N/A")</f>
        <v>N/A</v>
      </c>
      <c r="S62" s="5" t="str">
        <f>IFERROR(S15*100/'Interim Operational Data'!S$43, "N/A")</f>
        <v>N/A</v>
      </c>
      <c r="T62" s="5" t="str">
        <f>IFERROR(T15*100/'Interim Operational Data'!T$43, "N/A")</f>
        <v>N/A</v>
      </c>
      <c r="U62" s="5" t="str">
        <f>IFERROR(U15*100/'Interim Operational Data'!U$43, "N/A")</f>
        <v>N/A</v>
      </c>
      <c r="V62" s="5" t="str">
        <f>IFERROR(V15*100/'Interim Operational Data'!V$43, "N/A")</f>
        <v>N/A</v>
      </c>
      <c r="W62" s="5" t="str">
        <f>IFERROR(W15*100/'Interim Operational Data'!W$43, "N/A")</f>
        <v>N/A</v>
      </c>
      <c r="X62" s="5" t="str">
        <f>IFERROR(X15*100/'Interim Operational Data'!X$43, "N/A")</f>
        <v>N/A</v>
      </c>
      <c r="Y62" s="5" t="str">
        <f>IFERROR(Y15*100/'Interim Operational Data'!Y$43, "N/A")</f>
        <v>N/A</v>
      </c>
    </row>
    <row r="63" spans="1:25" x14ac:dyDescent="0.3">
      <c r="A63" s="85" t="s">
        <v>0</v>
      </c>
      <c r="B63" s="61"/>
      <c r="C63" s="61"/>
      <c r="D63" s="61"/>
      <c r="E63" s="61"/>
      <c r="F63" s="61"/>
      <c r="G63" s="61"/>
      <c r="H63" s="61"/>
      <c r="I63" s="61"/>
      <c r="J63" s="61"/>
      <c r="K63" s="61"/>
      <c r="L63" s="61"/>
      <c r="M63" s="61"/>
      <c r="N63" s="61"/>
      <c r="O63" s="61"/>
      <c r="P63" s="61"/>
      <c r="Q63" s="61"/>
      <c r="R63" s="61"/>
      <c r="S63" s="61"/>
      <c r="T63" s="61"/>
      <c r="U63" s="61"/>
      <c r="V63" s="61"/>
      <c r="W63" s="61"/>
      <c r="X63" s="61"/>
      <c r="Y63" s="61"/>
    </row>
    <row r="64" spans="1:25" x14ac:dyDescent="0.3">
      <c r="A64" s="85" t="str">
        <f>("Total Cargo &amp; Other Revenue -: [cents/" &amp;'Annual Operational Data'!$A$43 &amp; "]")</f>
        <v>Total Cargo &amp; Other Revenue -: [cents/RTMs]</v>
      </c>
      <c r="B64" s="5" t="str">
        <f>IFERROR(B17*100/'Interim Operational Data'!B$43, "N/A")</f>
        <v>N/A</v>
      </c>
      <c r="C64" s="5" t="str">
        <f>IFERROR(C17*100/'Interim Operational Data'!C$43, "N/A")</f>
        <v>N/A</v>
      </c>
      <c r="D64" s="5" t="str">
        <f>IFERROR(D17*100/'Interim Operational Data'!D$43, "N/A")</f>
        <v>N/A</v>
      </c>
      <c r="E64" s="5" t="str">
        <f>IFERROR(E17*100/'Interim Operational Data'!E$43, "N/A")</f>
        <v>N/A</v>
      </c>
      <c r="F64" s="5" t="str">
        <f>IFERROR(F17*100/'Interim Operational Data'!F$43, "N/A")</f>
        <v>N/A</v>
      </c>
      <c r="G64" s="5" t="str">
        <f>IFERROR(G17*100/'Interim Operational Data'!G$43, "N/A")</f>
        <v>N/A</v>
      </c>
      <c r="H64" s="5" t="str">
        <f>IFERROR(H17*100/'Interim Operational Data'!H$43, "N/A")</f>
        <v>N/A</v>
      </c>
      <c r="I64" s="5" t="str">
        <f>IFERROR(I17*100/'Interim Operational Data'!I$43, "N/A")</f>
        <v>N/A</v>
      </c>
      <c r="J64" s="5" t="str">
        <f>IFERROR(J17*100/'Interim Operational Data'!J$43, "N/A")</f>
        <v>N/A</v>
      </c>
      <c r="K64" s="5" t="str">
        <f>IFERROR(K17*100/'Interim Operational Data'!K$43, "N/A")</f>
        <v>N/A</v>
      </c>
      <c r="L64" s="5" t="str">
        <f>IFERROR(L17*100/'Interim Operational Data'!L$43, "N/A")</f>
        <v>N/A</v>
      </c>
      <c r="M64" s="5" t="str">
        <f>IFERROR(M17*100/'Interim Operational Data'!M$43, "N/A")</f>
        <v>N/A</v>
      </c>
      <c r="N64" s="5" t="str">
        <f>IFERROR(N17*100/'Interim Operational Data'!N$43, "N/A")</f>
        <v>N/A</v>
      </c>
      <c r="O64" s="5" t="str">
        <f>IFERROR(O17*100/'Interim Operational Data'!O$43, "N/A")</f>
        <v>N/A</v>
      </c>
      <c r="P64" s="5" t="str">
        <f>IFERROR(P17*100/'Interim Operational Data'!P$43, "N/A")</f>
        <v>N/A</v>
      </c>
      <c r="Q64" s="5" t="str">
        <f>IFERROR(Q17*100/'Interim Operational Data'!Q$43, "N/A")</f>
        <v>N/A</v>
      </c>
      <c r="R64" s="5" t="str">
        <f>IFERROR(R17*100/'Interim Operational Data'!R$43, "N/A")</f>
        <v>N/A</v>
      </c>
      <c r="S64" s="5" t="str">
        <f>IFERROR(S17*100/'Interim Operational Data'!S$43, "N/A")</f>
        <v>N/A</v>
      </c>
      <c r="T64" s="5" t="str">
        <f>IFERROR(T17*100/'Interim Operational Data'!T$43, "N/A")</f>
        <v>N/A</v>
      </c>
      <c r="U64" s="5" t="str">
        <f>IFERROR(U17*100/'Interim Operational Data'!U$43, "N/A")</f>
        <v>N/A</v>
      </c>
      <c r="V64" s="5" t="str">
        <f>IFERROR(V17*100/'Interim Operational Data'!V$43, "N/A")</f>
        <v>N/A</v>
      </c>
      <c r="W64" s="5" t="str">
        <f>IFERROR(W17*100/'Interim Operational Data'!W$43, "N/A")</f>
        <v>N/A</v>
      </c>
      <c r="X64" s="5" t="str">
        <f>IFERROR(X17*100/'Interim Operational Data'!X$43, "N/A")</f>
        <v>N/A</v>
      </c>
      <c r="Y64" s="5" t="str">
        <f>IFERROR(Y17*100/'Interim Operational Data'!Y$43, "N/A")</f>
        <v>N/A</v>
      </c>
    </row>
    <row r="65" spans="1:25" x14ac:dyDescent="0.3">
      <c r="A65" s="85" t="s">
        <v>0</v>
      </c>
      <c r="B65" s="61"/>
      <c r="C65" s="61"/>
      <c r="D65" s="61"/>
      <c r="E65" s="61"/>
      <c r="F65" s="61"/>
      <c r="G65" s="61"/>
      <c r="H65" s="61"/>
      <c r="I65" s="61"/>
      <c r="J65" s="61"/>
      <c r="K65" s="61"/>
      <c r="L65" s="61"/>
      <c r="M65" s="61"/>
      <c r="N65" s="61"/>
      <c r="O65" s="61"/>
      <c r="P65" s="61"/>
      <c r="Q65" s="61"/>
      <c r="R65" s="61"/>
      <c r="S65" s="61"/>
      <c r="T65" s="61"/>
      <c r="U65" s="61"/>
      <c r="V65" s="61"/>
      <c r="W65" s="61"/>
      <c r="X65" s="61"/>
      <c r="Y65" s="61"/>
    </row>
    <row r="66" spans="1:25" x14ac:dyDescent="0.3">
      <c r="A66" s="14" t="str">
        <f>("Total Revenue -: [cents/"&amp;'Annual Operational Data'!$A$43 &amp; "]")</f>
        <v>Total Revenue -: [cents/RTMs]</v>
      </c>
      <c r="B66" s="6" t="str">
        <f>IFERROR(B19*100/'Interim Operational Data'!B$43, "N/A")</f>
        <v>N/A</v>
      </c>
      <c r="C66" s="6" t="str">
        <f>IFERROR(C19*100/'Interim Operational Data'!C$43, "N/A")</f>
        <v>N/A</v>
      </c>
      <c r="D66" s="6" t="str">
        <f>IFERROR(D19*100/'Interim Operational Data'!D$43, "N/A")</f>
        <v>N/A</v>
      </c>
      <c r="E66" s="6" t="str">
        <f>IFERROR(E19*100/'Interim Operational Data'!E$43, "N/A")</f>
        <v>N/A</v>
      </c>
      <c r="F66" s="6" t="str">
        <f>IFERROR(F19*100/'Interim Operational Data'!F$43, "N/A")</f>
        <v>N/A</v>
      </c>
      <c r="G66" s="6" t="str">
        <f>IFERROR(G19*100/'Interim Operational Data'!G$43, "N/A")</f>
        <v>N/A</v>
      </c>
      <c r="H66" s="6" t="str">
        <f>IFERROR(H19*100/'Interim Operational Data'!H$43, "N/A")</f>
        <v>N/A</v>
      </c>
      <c r="I66" s="6" t="str">
        <f>IFERROR(I19*100/'Interim Operational Data'!I$43, "N/A")</f>
        <v>N/A</v>
      </c>
      <c r="J66" s="6" t="str">
        <f>IFERROR(J19*100/'Interim Operational Data'!J$43, "N/A")</f>
        <v>N/A</v>
      </c>
      <c r="K66" s="6" t="str">
        <f>IFERROR(K19*100/'Interim Operational Data'!K$43, "N/A")</f>
        <v>N/A</v>
      </c>
      <c r="L66" s="6" t="str">
        <f>IFERROR(L19*100/'Interim Operational Data'!L$43, "N/A")</f>
        <v>N/A</v>
      </c>
      <c r="M66" s="6" t="str">
        <f>IFERROR(M19*100/'Interim Operational Data'!M$43, "N/A")</f>
        <v>N/A</v>
      </c>
      <c r="N66" s="6" t="str">
        <f>IFERROR(N19*100/'Interim Operational Data'!N$43, "N/A")</f>
        <v>N/A</v>
      </c>
      <c r="O66" s="6" t="str">
        <f>IFERROR(O19*100/'Interim Operational Data'!O$43, "N/A")</f>
        <v>N/A</v>
      </c>
      <c r="P66" s="6" t="str">
        <f>IFERROR(P19*100/'Interim Operational Data'!P$43, "N/A")</f>
        <v>N/A</v>
      </c>
      <c r="Q66" s="6" t="str">
        <f>IFERROR(Q19*100/'Interim Operational Data'!Q$43, "N/A")</f>
        <v>N/A</v>
      </c>
      <c r="R66" s="6" t="str">
        <f>IFERROR(R19*100/'Interim Operational Data'!R$43, "N/A")</f>
        <v>N/A</v>
      </c>
      <c r="S66" s="6" t="str">
        <f>IFERROR(S19*100/'Interim Operational Data'!S$43, "N/A")</f>
        <v>N/A</v>
      </c>
      <c r="T66" s="6" t="str">
        <f>IFERROR(T19*100/'Interim Operational Data'!T$43, "N/A")</f>
        <v>N/A</v>
      </c>
      <c r="U66" s="6" t="str">
        <f>IFERROR(U19*100/'Interim Operational Data'!U$43, "N/A")</f>
        <v>N/A</v>
      </c>
      <c r="V66" s="6" t="str">
        <f>IFERROR(V19*100/'Interim Operational Data'!V$43, "N/A")</f>
        <v>N/A</v>
      </c>
      <c r="W66" s="6" t="str">
        <f>IFERROR(W19*100/'Interim Operational Data'!W$43, "N/A")</f>
        <v>N/A</v>
      </c>
      <c r="X66" s="6" t="str">
        <f>IFERROR(X19*100/'Interim Operational Data'!X$43, "N/A")</f>
        <v>N/A</v>
      </c>
      <c r="Y66" s="6" t="str">
        <f>IFERROR(Y19*100/'Interim Operational Data'!Y$43, "N/A")</f>
        <v>N/A</v>
      </c>
    </row>
    <row r="67" spans="1:25" x14ac:dyDescent="0.3">
      <c r="A67" s="85" t="s">
        <v>0</v>
      </c>
      <c r="B67" s="61"/>
      <c r="C67" s="2" t="str">
        <f ca="1">IFERROR(IF(Inputs!$E$14 = "Semi-annual",(C66/OFFSET(C66,0,-2,,))-1,(C66/OFFSET(C66,0,-4,,))-1),"")</f>
        <v/>
      </c>
      <c r="D67" s="2" t="str">
        <f ca="1">IFERROR(IF(Inputs!$E$14 = "Semi-annual",(D66/OFFSET(D66,0,-2,,))-1,(D66/OFFSET(D66,0,-4,,))-1),"")</f>
        <v/>
      </c>
      <c r="E67" s="2" t="str">
        <f ca="1">IFERROR(IF(Inputs!$E$14 = "Semi-annual",(E66/OFFSET(E66,0,-2,,))-1,(E66/OFFSET(E66,0,-4,,))-1),"")</f>
        <v/>
      </c>
      <c r="F67" s="2" t="str">
        <f ca="1">IFERROR(IF(Inputs!$E$14 = "Semi-annual",(F66/OFFSET(F66,0,-2,,))-1,(F66/OFFSET(F66,0,-4,,))-1),"")</f>
        <v/>
      </c>
      <c r="G67" s="2" t="str">
        <f ca="1">IFERROR(IF(Inputs!$E$14 = "Semi-annual",(G66/OFFSET(G66,0,-2,,))-1,(G66/OFFSET(G66,0,-4,,))-1),"")</f>
        <v/>
      </c>
      <c r="H67" s="2" t="str">
        <f ca="1">IFERROR(IF(Inputs!$E$14 = "Semi-annual",(H66/OFFSET(H66,0,-2,,))-1,(H66/OFFSET(H66,0,-4,,))-1),"")</f>
        <v/>
      </c>
      <c r="I67" s="2" t="str">
        <f ca="1">IFERROR(IF(Inputs!$E$14 = "Semi-annual",(I66/OFFSET(I66,0,-2,,))-1,(I66/OFFSET(I66,0,-4,,))-1),"")</f>
        <v/>
      </c>
      <c r="J67" s="2" t="str">
        <f ca="1">IFERROR(IF(Inputs!$E$14 = "Semi-annual",(J66/OFFSET(J66,0,-2,,))-1,(J66/OFFSET(J66,0,-4,,))-1),"")</f>
        <v/>
      </c>
      <c r="K67" s="2" t="str">
        <f ca="1">IFERROR(IF(Inputs!$E$14 = "Semi-annual",(K66/OFFSET(K66,0,-2,,))-1,(K66/OFFSET(K66,0,-4,,))-1),"")</f>
        <v/>
      </c>
      <c r="L67" s="2" t="str">
        <f ca="1">IFERROR(IF(Inputs!$E$14 = "Semi-annual",(L66/OFFSET(L66,0,-2,,))-1,(L66/OFFSET(L66,0,-4,,))-1),"")</f>
        <v/>
      </c>
      <c r="M67" s="2" t="str">
        <f ca="1">IFERROR(IF(Inputs!$E$14 = "Semi-annual",(M66/OFFSET(M66,0,-2,,))-1,(M66/OFFSET(M66,0,-4,,))-1),"")</f>
        <v/>
      </c>
      <c r="N67" s="2" t="str">
        <f ca="1">IFERROR(IF(Inputs!$E$14 = "Semi-annual",(N66/OFFSET(N66,0,-2,,))-1,(N66/OFFSET(N66,0,-4,,))-1),"")</f>
        <v/>
      </c>
      <c r="O67" s="2" t="str">
        <f ca="1">IFERROR(IF(Inputs!$E$14 = "Semi-annual",(O66/OFFSET(O66,0,-2,,))-1,(O66/OFFSET(O66,0,-4,,))-1),"")</f>
        <v/>
      </c>
      <c r="P67" s="2" t="str">
        <f ca="1">IFERROR(IF(Inputs!$E$14 = "Semi-annual",(P66/OFFSET(P66,0,-2,,))-1,(P66/OFFSET(P66,0,-4,,))-1),"")</f>
        <v/>
      </c>
      <c r="Q67" s="2" t="str">
        <f ca="1">IFERROR(IF(Inputs!$E$14 = "Semi-annual",(Q66/OFFSET(Q66,0,-2,,))-1,(Q66/OFFSET(Q66,0,-4,,))-1),"")</f>
        <v/>
      </c>
      <c r="R67" s="2" t="str">
        <f ca="1">IFERROR(IF(Inputs!$E$14 = "Semi-annual",(R66/OFFSET(R66,0,-2,,))-1,(R66/OFFSET(R66,0,-4,,))-1),"")</f>
        <v/>
      </c>
      <c r="S67" s="2" t="str">
        <f ca="1">IFERROR(IF(Inputs!$E$14 = "Semi-annual",(S66/OFFSET(S66,0,-2,,))-1,(S66/OFFSET(S66,0,-4,,))-1),"")</f>
        <v/>
      </c>
      <c r="T67" s="2" t="str">
        <f ca="1">IFERROR(IF(Inputs!$E$14 = "Semi-annual",(T66/OFFSET(T66,0,-2,,))-1,(T66/OFFSET(T66,0,-4,,))-1),"")</f>
        <v/>
      </c>
      <c r="U67" s="2" t="str">
        <f ca="1">IFERROR(IF(Inputs!$E$14 = "Semi-annual",(U66/OFFSET(U66,0,-2,,))-1,(U66/OFFSET(U66,0,-4,,))-1),"")</f>
        <v/>
      </c>
      <c r="V67" s="2" t="str">
        <f ca="1">IFERROR(IF(Inputs!$E$14 = "Semi-annual",(V66/OFFSET(V66,0,-2,,))-1,(V66/OFFSET(V66,0,-4,,))-1),"")</f>
        <v/>
      </c>
      <c r="W67" s="2" t="str">
        <f ca="1">IFERROR(IF(Inputs!$E$14 = "Semi-annual",(W66/OFFSET(W66,0,-2,,))-1,(W66/OFFSET(W66,0,-4,,))-1),"")</f>
        <v/>
      </c>
      <c r="X67" s="2" t="str">
        <f ca="1">IFERROR(IF(Inputs!$E$14 = "Semi-annual",(X66/OFFSET(X66,0,-2,,))-1,(X66/OFFSET(X66,0,-4,,))-1),"")</f>
        <v/>
      </c>
      <c r="Y67" s="2" t="str">
        <f ca="1">IFERROR(IF(Inputs!$E$14 = "Semi-annual",(Y66/OFFSET(Y66,0,-2,,))-1,(Y66/OFFSET(Y66,0,-4,,))-1),"")</f>
        <v/>
      </c>
    </row>
    <row r="68" spans="1:25" x14ac:dyDescent="0.3">
      <c r="A68" s="8" t="str">
        <f>IF(Inputs!$E$10 = "miles", "Per ATM:", "Per ATK:")</f>
        <v>Per ATM:</v>
      </c>
      <c r="B68" s="10"/>
      <c r="C68" s="10"/>
      <c r="D68" s="10"/>
      <c r="E68" s="10"/>
      <c r="F68" s="10"/>
      <c r="G68" s="10"/>
      <c r="H68" s="10"/>
      <c r="I68" s="10"/>
      <c r="J68" s="10"/>
      <c r="K68" s="10"/>
      <c r="L68" s="10"/>
      <c r="M68" s="10"/>
      <c r="N68" s="10"/>
      <c r="O68" s="10"/>
      <c r="P68" s="10"/>
      <c r="Q68" s="10"/>
      <c r="R68" s="10"/>
      <c r="S68" s="10"/>
      <c r="T68" s="10"/>
      <c r="U68" s="10"/>
      <c r="V68" s="10"/>
      <c r="W68" s="10"/>
      <c r="X68" s="10"/>
      <c r="Y68" s="10"/>
    </row>
    <row r="69" spans="1:25" x14ac:dyDescent="0.3">
      <c r="A69" s="85" t="str">
        <f>("Passenger Revenue -: [cents/" &amp;'Annual Operational Data'!$A$45 &amp; "]")</f>
        <v>Passenger Revenue -: [cents/ATMs]</v>
      </c>
      <c r="B69" s="5" t="str">
        <f>IFERROR(B9*100/'Interim Operational Data'!B$45, "N/A")</f>
        <v>N/A</v>
      </c>
      <c r="C69" s="5" t="str">
        <f>IFERROR(C9*100/'Interim Operational Data'!C$45, "N/A")</f>
        <v>N/A</v>
      </c>
      <c r="D69" s="5" t="str">
        <f>IFERROR(D9*100/'Interim Operational Data'!D$45, "N/A")</f>
        <v>N/A</v>
      </c>
      <c r="E69" s="5" t="str">
        <f>IFERROR(E9*100/'Interim Operational Data'!E$45, "N/A")</f>
        <v>N/A</v>
      </c>
      <c r="F69" s="5" t="str">
        <f>IFERROR(F9*100/'Interim Operational Data'!F$45, "N/A")</f>
        <v>N/A</v>
      </c>
      <c r="G69" s="5" t="str">
        <f>IFERROR(G9*100/'Interim Operational Data'!G$45, "N/A")</f>
        <v>N/A</v>
      </c>
      <c r="H69" s="5" t="str">
        <f>IFERROR(H9*100/'Interim Operational Data'!H$45, "N/A")</f>
        <v>N/A</v>
      </c>
      <c r="I69" s="5" t="str">
        <f>IFERROR(I9*100/'Interim Operational Data'!I$45, "N/A")</f>
        <v>N/A</v>
      </c>
      <c r="J69" s="5" t="str">
        <f>IFERROR(J9*100/'Interim Operational Data'!J$45, "N/A")</f>
        <v>N/A</v>
      </c>
      <c r="K69" s="5" t="str">
        <f>IFERROR(K9*100/'Interim Operational Data'!K$45, "N/A")</f>
        <v>N/A</v>
      </c>
      <c r="L69" s="5" t="str">
        <f>IFERROR(L9*100/'Interim Operational Data'!L$45, "N/A")</f>
        <v>N/A</v>
      </c>
      <c r="M69" s="5" t="str">
        <f>IFERROR(M9*100/'Interim Operational Data'!M$45, "N/A")</f>
        <v>N/A</v>
      </c>
      <c r="N69" s="5" t="str">
        <f>IFERROR(N9*100/'Interim Operational Data'!N$45, "N/A")</f>
        <v>N/A</v>
      </c>
      <c r="O69" s="5" t="str">
        <f>IFERROR(O9*100/'Interim Operational Data'!O$45, "N/A")</f>
        <v>N/A</v>
      </c>
      <c r="P69" s="5" t="str">
        <f>IFERROR(P9*100/'Interim Operational Data'!P$45, "N/A")</f>
        <v>N/A</v>
      </c>
      <c r="Q69" s="5" t="str">
        <f>IFERROR(Q9*100/'Interim Operational Data'!Q$45, "N/A")</f>
        <v>N/A</v>
      </c>
      <c r="R69" s="5" t="str">
        <f>IFERROR(R9*100/'Interim Operational Data'!R$45, "N/A")</f>
        <v>N/A</v>
      </c>
      <c r="S69" s="5" t="str">
        <f>IFERROR(S9*100/'Interim Operational Data'!S$45, "N/A")</f>
        <v>N/A</v>
      </c>
      <c r="T69" s="5" t="str">
        <f>IFERROR(T9*100/'Interim Operational Data'!T$45, "N/A")</f>
        <v>N/A</v>
      </c>
      <c r="U69" s="5" t="str">
        <f>IFERROR(U9*100/'Interim Operational Data'!U$45, "N/A")</f>
        <v>N/A</v>
      </c>
      <c r="V69" s="5" t="str">
        <f>IFERROR(V9*100/'Interim Operational Data'!V$45, "N/A")</f>
        <v>N/A</v>
      </c>
      <c r="W69" s="5" t="str">
        <f>IFERROR(W9*100/'Interim Operational Data'!W$45, "N/A")</f>
        <v>N/A</v>
      </c>
      <c r="X69" s="5" t="str">
        <f>IFERROR(X9*100/'Interim Operational Data'!X$45, "N/A")</f>
        <v>N/A</v>
      </c>
      <c r="Y69" s="5" t="str">
        <f>IFERROR(Y9*100/'Interim Operational Data'!Y$45, "N/A")</f>
        <v>N/A</v>
      </c>
    </row>
    <row r="70" spans="1:25" x14ac:dyDescent="0.3">
      <c r="A70" s="85" t="s">
        <v>0</v>
      </c>
      <c r="B70" s="2"/>
      <c r="C70" s="2"/>
      <c r="D70" s="2"/>
      <c r="E70" s="2"/>
      <c r="F70" s="2"/>
      <c r="G70" s="2"/>
      <c r="H70" s="2"/>
      <c r="I70" s="2"/>
      <c r="J70" s="2"/>
      <c r="K70" s="2"/>
      <c r="L70" s="2"/>
      <c r="M70" s="2"/>
      <c r="N70" s="2"/>
      <c r="O70" s="2"/>
      <c r="P70" s="2"/>
      <c r="Q70" s="2"/>
      <c r="R70" s="2"/>
      <c r="S70" s="2"/>
      <c r="T70" s="2"/>
      <c r="U70" s="2"/>
      <c r="V70" s="2"/>
      <c r="W70" s="2"/>
      <c r="X70" s="2"/>
      <c r="Y70" s="2"/>
    </row>
    <row r="71" spans="1:25" x14ac:dyDescent="0.3">
      <c r="A71" s="85" t="str">
        <f>("Cargo Revenue -: [cents/"&amp;'Annual Operational Data'!$A$45 &amp; "]")</f>
        <v>Cargo Revenue -: [cents/ATMs]</v>
      </c>
      <c r="B71" s="5" t="str">
        <f>IFERROR(B13*100/'Interim Operational Data'!B$45, "N/A")</f>
        <v>N/A</v>
      </c>
      <c r="C71" s="5" t="str">
        <f>IFERROR(C13*100/'Interim Operational Data'!C$45, "N/A")</f>
        <v>N/A</v>
      </c>
      <c r="D71" s="5" t="str">
        <f>IFERROR(D13*100/'Interim Operational Data'!D$45, "N/A")</f>
        <v>N/A</v>
      </c>
      <c r="E71" s="5" t="str">
        <f>IFERROR(E13*100/'Interim Operational Data'!E$45, "N/A")</f>
        <v>N/A</v>
      </c>
      <c r="F71" s="5" t="str">
        <f>IFERROR(F13*100/'Interim Operational Data'!F$45, "N/A")</f>
        <v>N/A</v>
      </c>
      <c r="G71" s="5" t="str">
        <f>IFERROR(G13*100/'Interim Operational Data'!G$45, "N/A")</f>
        <v>N/A</v>
      </c>
      <c r="H71" s="5" t="str">
        <f>IFERROR(H13*100/'Interim Operational Data'!H$45, "N/A")</f>
        <v>N/A</v>
      </c>
      <c r="I71" s="5" t="str">
        <f>IFERROR(I13*100/'Interim Operational Data'!I$45, "N/A")</f>
        <v>N/A</v>
      </c>
      <c r="J71" s="5" t="str">
        <f>IFERROR(J13*100/'Interim Operational Data'!J$45, "N/A")</f>
        <v>N/A</v>
      </c>
      <c r="K71" s="5" t="str">
        <f>IFERROR(K13*100/'Interim Operational Data'!K$45, "N/A")</f>
        <v>N/A</v>
      </c>
      <c r="L71" s="5" t="str">
        <f>IFERROR(L13*100/'Interim Operational Data'!L$45, "N/A")</f>
        <v>N/A</v>
      </c>
      <c r="M71" s="5" t="str">
        <f>IFERROR(M13*100/'Interim Operational Data'!M$45, "N/A")</f>
        <v>N/A</v>
      </c>
      <c r="N71" s="5" t="str">
        <f>IFERROR(N13*100/'Interim Operational Data'!N$45, "N/A")</f>
        <v>N/A</v>
      </c>
      <c r="O71" s="5" t="str">
        <f>IFERROR(O13*100/'Interim Operational Data'!O$45, "N/A")</f>
        <v>N/A</v>
      </c>
      <c r="P71" s="5" t="str">
        <f>IFERROR(P13*100/'Interim Operational Data'!P$45, "N/A")</f>
        <v>N/A</v>
      </c>
      <c r="Q71" s="5" t="str">
        <f>IFERROR(Q13*100/'Interim Operational Data'!Q$45, "N/A")</f>
        <v>N/A</v>
      </c>
      <c r="R71" s="5" t="str">
        <f>IFERROR(R13*100/'Interim Operational Data'!R$45, "N/A")</f>
        <v>N/A</v>
      </c>
      <c r="S71" s="5" t="str">
        <f>IFERROR(S13*100/'Interim Operational Data'!S$45, "N/A")</f>
        <v>N/A</v>
      </c>
      <c r="T71" s="5" t="str">
        <f>IFERROR(T13*100/'Interim Operational Data'!T$45, "N/A")</f>
        <v>N/A</v>
      </c>
      <c r="U71" s="5" t="str">
        <f>IFERROR(U13*100/'Interim Operational Data'!U$45, "N/A")</f>
        <v>N/A</v>
      </c>
      <c r="V71" s="5" t="str">
        <f>IFERROR(V13*100/'Interim Operational Data'!V$45, "N/A")</f>
        <v>N/A</v>
      </c>
      <c r="W71" s="5" t="str">
        <f>IFERROR(W13*100/'Interim Operational Data'!W$45, "N/A")</f>
        <v>N/A</v>
      </c>
      <c r="X71" s="5" t="str">
        <f>IFERROR(X13*100/'Interim Operational Data'!X$45, "N/A")</f>
        <v>N/A</v>
      </c>
      <c r="Y71" s="5" t="str">
        <f>IFERROR(Y13*100/'Interim Operational Data'!Y$45, "N/A")</f>
        <v>N/A</v>
      </c>
    </row>
    <row r="72" spans="1:25" x14ac:dyDescent="0.3">
      <c r="A72" s="85" t="s">
        <v>0</v>
      </c>
      <c r="B72" s="2"/>
      <c r="C72" s="2"/>
      <c r="D72" s="2"/>
      <c r="E72" s="2"/>
      <c r="F72" s="2"/>
      <c r="G72" s="2"/>
      <c r="H72" s="2"/>
      <c r="I72" s="2"/>
      <c r="J72" s="2"/>
      <c r="K72" s="2"/>
      <c r="L72" s="2"/>
      <c r="M72" s="2"/>
      <c r="N72" s="2"/>
      <c r="O72" s="2"/>
      <c r="P72" s="2"/>
      <c r="Q72" s="2"/>
      <c r="R72" s="2"/>
      <c r="S72" s="2"/>
      <c r="T72" s="2"/>
      <c r="U72" s="2"/>
      <c r="V72" s="2"/>
      <c r="W72" s="2"/>
      <c r="X72" s="2"/>
      <c r="Y72" s="2"/>
    </row>
    <row r="73" spans="1:25" x14ac:dyDescent="0.3">
      <c r="A73" s="85" t="str">
        <f>("Other Revenue  -: [cents/"&amp;'Annual Operational Data'!$A$45&amp;"]")</f>
        <v>Other Revenue  -: [cents/ATMs]</v>
      </c>
      <c r="B73" s="5" t="str">
        <f>IFERROR(B15*100/'Interim Operational Data'!B$45, "N/A")</f>
        <v>N/A</v>
      </c>
      <c r="C73" s="5" t="str">
        <f>IFERROR(C15*100/'Interim Operational Data'!C$45, "N/A")</f>
        <v>N/A</v>
      </c>
      <c r="D73" s="5" t="str">
        <f>IFERROR(D15*100/'Interim Operational Data'!D$45, "N/A")</f>
        <v>N/A</v>
      </c>
      <c r="E73" s="5" t="str">
        <f>IFERROR(E15*100/'Interim Operational Data'!E$45, "N/A")</f>
        <v>N/A</v>
      </c>
      <c r="F73" s="5" t="str">
        <f>IFERROR(F15*100/'Interim Operational Data'!F$45, "N/A")</f>
        <v>N/A</v>
      </c>
      <c r="G73" s="5" t="str">
        <f>IFERROR(G15*100/'Interim Operational Data'!G$45, "N/A")</f>
        <v>N/A</v>
      </c>
      <c r="H73" s="5" t="str">
        <f>IFERROR(H15*100/'Interim Operational Data'!H$45, "N/A")</f>
        <v>N/A</v>
      </c>
      <c r="I73" s="5" t="str">
        <f>IFERROR(I15*100/'Interim Operational Data'!I$45, "N/A")</f>
        <v>N/A</v>
      </c>
      <c r="J73" s="5" t="str">
        <f>IFERROR(J15*100/'Interim Operational Data'!J$45, "N/A")</f>
        <v>N/A</v>
      </c>
      <c r="K73" s="5" t="str">
        <f>IFERROR(K15*100/'Interim Operational Data'!K$45, "N/A")</f>
        <v>N/A</v>
      </c>
      <c r="L73" s="5" t="str">
        <f>IFERROR(L15*100/'Interim Operational Data'!L$45, "N/A")</f>
        <v>N/A</v>
      </c>
      <c r="M73" s="5" t="str">
        <f>IFERROR(M15*100/'Interim Operational Data'!M$45, "N/A")</f>
        <v>N/A</v>
      </c>
      <c r="N73" s="5" t="str">
        <f>IFERROR(N15*100/'Interim Operational Data'!N$45, "N/A")</f>
        <v>N/A</v>
      </c>
      <c r="O73" s="5" t="str">
        <f>IFERROR(O15*100/'Interim Operational Data'!O$45, "N/A")</f>
        <v>N/A</v>
      </c>
      <c r="P73" s="5" t="str">
        <f>IFERROR(P15*100/'Interim Operational Data'!P$45, "N/A")</f>
        <v>N/A</v>
      </c>
      <c r="Q73" s="5" t="str">
        <f>IFERROR(Q15*100/'Interim Operational Data'!Q$45, "N/A")</f>
        <v>N/A</v>
      </c>
      <c r="R73" s="5" t="str">
        <f>IFERROR(R15*100/'Interim Operational Data'!R$45, "N/A")</f>
        <v>N/A</v>
      </c>
      <c r="S73" s="5" t="str">
        <f>IFERROR(S15*100/'Interim Operational Data'!S$45, "N/A")</f>
        <v>N/A</v>
      </c>
      <c r="T73" s="5" t="str">
        <f>IFERROR(T15*100/'Interim Operational Data'!T$45, "N/A")</f>
        <v>N/A</v>
      </c>
      <c r="U73" s="5" t="str">
        <f>IFERROR(U15*100/'Interim Operational Data'!U$45, "N/A")</f>
        <v>N/A</v>
      </c>
      <c r="V73" s="5" t="str">
        <f>IFERROR(V15*100/'Interim Operational Data'!V$45, "N/A")</f>
        <v>N/A</v>
      </c>
      <c r="W73" s="5" t="str">
        <f>IFERROR(W15*100/'Interim Operational Data'!W$45, "N/A")</f>
        <v>N/A</v>
      </c>
      <c r="X73" s="5" t="str">
        <f>IFERROR(X15*100/'Interim Operational Data'!X$45, "N/A")</f>
        <v>N/A</v>
      </c>
      <c r="Y73" s="5" t="str">
        <f>IFERROR(Y15*100/'Interim Operational Data'!Y$45, "N/A")</f>
        <v>N/A</v>
      </c>
    </row>
    <row r="74" spans="1:25" x14ac:dyDescent="0.3">
      <c r="A74" s="85" t="s">
        <v>0</v>
      </c>
      <c r="B74" s="2"/>
      <c r="C74" s="2"/>
      <c r="D74" s="2"/>
      <c r="E74" s="2"/>
      <c r="F74" s="2"/>
      <c r="G74" s="2"/>
      <c r="H74" s="2"/>
      <c r="I74" s="2"/>
      <c r="J74" s="2"/>
      <c r="K74" s="2"/>
      <c r="L74" s="2"/>
      <c r="M74" s="2"/>
      <c r="N74" s="2"/>
      <c r="O74" s="2"/>
      <c r="P74" s="2"/>
      <c r="Q74" s="2"/>
      <c r="R74" s="2"/>
      <c r="S74" s="2"/>
      <c r="T74" s="2"/>
      <c r="U74" s="2"/>
      <c r="V74" s="2"/>
      <c r="W74" s="2"/>
      <c r="X74" s="2"/>
      <c r="Y74" s="2"/>
    </row>
    <row r="75" spans="1:25" x14ac:dyDescent="0.3">
      <c r="A75" s="85" t="str">
        <f>("Total Cargo &amp; Other Revenue -: [cents/" &amp;'Annual Operational Data'!$A$45 &amp; "]")</f>
        <v>Total Cargo &amp; Other Revenue -: [cents/ATMs]</v>
      </c>
      <c r="B75" s="5" t="str">
        <f>IFERROR(B17*100/'Interim Operational Data'!B$45, "N/A")</f>
        <v>N/A</v>
      </c>
      <c r="C75" s="5" t="str">
        <f>IFERROR(C17*100/'Interim Operational Data'!C$45, "N/A")</f>
        <v>N/A</v>
      </c>
      <c r="D75" s="5" t="str">
        <f>IFERROR(D17*100/'Interim Operational Data'!D$45, "N/A")</f>
        <v>N/A</v>
      </c>
      <c r="E75" s="5" t="str">
        <f>IFERROR(E17*100/'Interim Operational Data'!E$45, "N/A")</f>
        <v>N/A</v>
      </c>
      <c r="F75" s="5" t="str">
        <f>IFERROR(F17*100/'Interim Operational Data'!F$45, "N/A")</f>
        <v>N/A</v>
      </c>
      <c r="G75" s="5" t="str">
        <f>IFERROR(G17*100/'Interim Operational Data'!G$45, "N/A")</f>
        <v>N/A</v>
      </c>
      <c r="H75" s="5" t="str">
        <f>IFERROR(H17*100/'Interim Operational Data'!H$45, "N/A")</f>
        <v>N/A</v>
      </c>
      <c r="I75" s="5" t="str">
        <f>IFERROR(I17*100/'Interim Operational Data'!I$45, "N/A")</f>
        <v>N/A</v>
      </c>
      <c r="J75" s="5" t="str">
        <f>IFERROR(J17*100/'Interim Operational Data'!J$45, "N/A")</f>
        <v>N/A</v>
      </c>
      <c r="K75" s="5" t="str">
        <f>IFERROR(K17*100/'Interim Operational Data'!K$45, "N/A")</f>
        <v>N/A</v>
      </c>
      <c r="L75" s="5" t="str">
        <f>IFERROR(L17*100/'Interim Operational Data'!L$45, "N/A")</f>
        <v>N/A</v>
      </c>
      <c r="M75" s="5" t="str">
        <f>IFERROR(M17*100/'Interim Operational Data'!M$45, "N/A")</f>
        <v>N/A</v>
      </c>
      <c r="N75" s="5" t="str">
        <f>IFERROR(N17*100/'Interim Operational Data'!N$45, "N/A")</f>
        <v>N/A</v>
      </c>
      <c r="O75" s="5" t="str">
        <f>IFERROR(O17*100/'Interim Operational Data'!O$45, "N/A")</f>
        <v>N/A</v>
      </c>
      <c r="P75" s="5" t="str">
        <f>IFERROR(P17*100/'Interim Operational Data'!P$45, "N/A")</f>
        <v>N/A</v>
      </c>
      <c r="Q75" s="5" t="str">
        <f>IFERROR(Q17*100/'Interim Operational Data'!Q$45, "N/A")</f>
        <v>N/A</v>
      </c>
      <c r="R75" s="5" t="str">
        <f>IFERROR(R17*100/'Interim Operational Data'!R$45, "N/A")</f>
        <v>N/A</v>
      </c>
      <c r="S75" s="5" t="str">
        <f>IFERROR(S17*100/'Interim Operational Data'!S$45, "N/A")</f>
        <v>N/A</v>
      </c>
      <c r="T75" s="5" t="str">
        <f>IFERROR(T17*100/'Interim Operational Data'!T$45, "N/A")</f>
        <v>N/A</v>
      </c>
      <c r="U75" s="5" t="str">
        <f>IFERROR(U17*100/'Interim Operational Data'!U$45, "N/A")</f>
        <v>N/A</v>
      </c>
      <c r="V75" s="5" t="str">
        <f>IFERROR(V17*100/'Interim Operational Data'!V$45, "N/A")</f>
        <v>N/A</v>
      </c>
      <c r="W75" s="5" t="str">
        <f>IFERROR(W17*100/'Interim Operational Data'!W$45, "N/A")</f>
        <v>N/A</v>
      </c>
      <c r="X75" s="5" t="str">
        <f>IFERROR(X17*100/'Interim Operational Data'!X$45, "N/A")</f>
        <v>N/A</v>
      </c>
      <c r="Y75" s="5" t="str">
        <f>IFERROR(Y17*100/'Interim Operational Data'!Y$45, "N/A")</f>
        <v>N/A</v>
      </c>
    </row>
    <row r="76" spans="1:25" x14ac:dyDescent="0.3">
      <c r="A76" s="85" t="s">
        <v>0</v>
      </c>
      <c r="B76" s="2"/>
      <c r="C76" s="2"/>
      <c r="D76" s="2"/>
      <c r="E76" s="2"/>
      <c r="F76" s="2"/>
      <c r="G76" s="2"/>
      <c r="H76" s="2"/>
      <c r="I76" s="2"/>
      <c r="J76" s="2"/>
      <c r="K76" s="2"/>
      <c r="L76" s="2"/>
      <c r="M76" s="2"/>
      <c r="N76" s="2"/>
      <c r="O76" s="2"/>
      <c r="P76" s="2"/>
      <c r="Q76" s="2"/>
      <c r="R76" s="2"/>
      <c r="S76" s="2"/>
      <c r="T76" s="2"/>
      <c r="U76" s="2"/>
      <c r="V76" s="2"/>
      <c r="W76" s="2"/>
      <c r="X76" s="2"/>
      <c r="Y76" s="2"/>
    </row>
    <row r="77" spans="1:25" x14ac:dyDescent="0.3">
      <c r="A77" s="14" t="str">
        <f>("Total Revenue -: [cents/"&amp;'Annual Operational Data'!$A$45 &amp; "]")</f>
        <v>Total Revenue -: [cents/ATMs]</v>
      </c>
      <c r="B77" s="6" t="str">
        <f>IFERROR(B19*100/'Interim Operational Data'!B$45, "N/A")</f>
        <v>N/A</v>
      </c>
      <c r="C77" s="6" t="str">
        <f>IFERROR(C19*100/'Interim Operational Data'!C$45, "N/A")</f>
        <v>N/A</v>
      </c>
      <c r="D77" s="6" t="str">
        <f>IFERROR(D19*100/'Interim Operational Data'!D$45, "N/A")</f>
        <v>N/A</v>
      </c>
      <c r="E77" s="6" t="str">
        <f>IFERROR(E19*100/'Interim Operational Data'!E$45, "N/A")</f>
        <v>N/A</v>
      </c>
      <c r="F77" s="6" t="str">
        <f>IFERROR(F19*100/'Interim Operational Data'!F$45, "N/A")</f>
        <v>N/A</v>
      </c>
      <c r="G77" s="6" t="str">
        <f>IFERROR(G19*100/'Interim Operational Data'!G$45, "N/A")</f>
        <v>N/A</v>
      </c>
      <c r="H77" s="6" t="str">
        <f>IFERROR(H19*100/'Interim Operational Data'!H$45, "N/A")</f>
        <v>N/A</v>
      </c>
      <c r="I77" s="6" t="str">
        <f>IFERROR(I19*100/'Interim Operational Data'!I$45, "N/A")</f>
        <v>N/A</v>
      </c>
      <c r="J77" s="6" t="str">
        <f>IFERROR(J19*100/'Interim Operational Data'!J$45, "N/A")</f>
        <v>N/A</v>
      </c>
      <c r="K77" s="6" t="str">
        <f>IFERROR(K19*100/'Interim Operational Data'!K$45, "N/A")</f>
        <v>N/A</v>
      </c>
      <c r="L77" s="6" t="str">
        <f>IFERROR(L19*100/'Interim Operational Data'!L$45, "N/A")</f>
        <v>N/A</v>
      </c>
      <c r="M77" s="6" t="str">
        <f>IFERROR(M19*100/'Interim Operational Data'!M$45, "N/A")</f>
        <v>N/A</v>
      </c>
      <c r="N77" s="6" t="str">
        <f>IFERROR(N19*100/'Interim Operational Data'!N$45, "N/A")</f>
        <v>N/A</v>
      </c>
      <c r="O77" s="6" t="str">
        <f>IFERROR(O19*100/'Interim Operational Data'!O$45, "N/A")</f>
        <v>N/A</v>
      </c>
      <c r="P77" s="6" t="str">
        <f>IFERROR(P19*100/'Interim Operational Data'!P$45, "N/A")</f>
        <v>N/A</v>
      </c>
      <c r="Q77" s="6" t="str">
        <f>IFERROR(Q19*100/'Interim Operational Data'!Q$45, "N/A")</f>
        <v>N/A</v>
      </c>
      <c r="R77" s="6" t="str">
        <f>IFERROR(R19*100/'Interim Operational Data'!R$45, "N/A")</f>
        <v>N/A</v>
      </c>
      <c r="S77" s="6" t="str">
        <f>IFERROR(S19*100/'Interim Operational Data'!S$45, "N/A")</f>
        <v>N/A</v>
      </c>
      <c r="T77" s="6" t="str">
        <f>IFERROR(T19*100/'Interim Operational Data'!T$45, "N/A")</f>
        <v>N/A</v>
      </c>
      <c r="U77" s="6" t="str">
        <f>IFERROR(U19*100/'Interim Operational Data'!U$45, "N/A")</f>
        <v>N/A</v>
      </c>
      <c r="V77" s="6" t="str">
        <f>IFERROR(V19*100/'Interim Operational Data'!V$45, "N/A")</f>
        <v>N/A</v>
      </c>
      <c r="W77" s="6" t="str">
        <f>IFERROR(W19*100/'Interim Operational Data'!W$45, "N/A")</f>
        <v>N/A</v>
      </c>
      <c r="X77" s="6" t="str">
        <f>IFERROR(X19*100/'Interim Operational Data'!X$45, "N/A")</f>
        <v>N/A</v>
      </c>
      <c r="Y77" s="6" t="str">
        <f>IFERROR(Y19*100/'Interim Operational Data'!Y$45, "N/A")</f>
        <v>N/A</v>
      </c>
    </row>
    <row r="78" spans="1:25" x14ac:dyDescent="0.3">
      <c r="A78" s="85" t="s">
        <v>0</v>
      </c>
      <c r="B78" s="2"/>
      <c r="C78" s="2" t="str">
        <f ca="1">IFERROR(IF(Inputs!$E$14 = "Semi-annual",(C77/OFFSET(C77,0,-2,,))-1,(C77/OFFSET(C77,0,-4,,))-1),"")</f>
        <v/>
      </c>
      <c r="D78" s="2" t="str">
        <f ca="1">IFERROR(IF(Inputs!$E$14 = "Semi-annual",(D77/OFFSET(D77,0,-2,,))-1,(D77/OFFSET(D77,0,-4,,))-1),"")</f>
        <v/>
      </c>
      <c r="E78" s="2" t="str">
        <f ca="1">IFERROR(IF(Inputs!$E$14 = "Semi-annual",(E77/OFFSET(E77,0,-2,,))-1,(E77/OFFSET(E77,0,-4,,))-1),"")</f>
        <v/>
      </c>
      <c r="F78" s="2" t="str">
        <f ca="1">IFERROR(IF(Inputs!$E$14 = "Semi-annual",(F77/OFFSET(F77,0,-2,,))-1,(F77/OFFSET(F77,0,-4,,))-1),"")</f>
        <v/>
      </c>
      <c r="G78" s="2" t="str">
        <f ca="1">IFERROR(IF(Inputs!$E$14 = "Semi-annual",(G77/OFFSET(G77,0,-2,,))-1,(G77/OFFSET(G77,0,-4,,))-1),"")</f>
        <v/>
      </c>
      <c r="H78" s="2" t="str">
        <f ca="1">IFERROR(IF(Inputs!$E$14 = "Semi-annual",(H77/OFFSET(H77,0,-2,,))-1,(H77/OFFSET(H77,0,-4,,))-1),"")</f>
        <v/>
      </c>
      <c r="I78" s="2" t="str">
        <f ca="1">IFERROR(IF(Inputs!$E$14 = "Semi-annual",(I77/OFFSET(I77,0,-2,,))-1,(I77/OFFSET(I77,0,-4,,))-1),"")</f>
        <v/>
      </c>
      <c r="J78" s="2" t="str">
        <f ca="1">IFERROR(IF(Inputs!$E$14 = "Semi-annual",(J77/OFFSET(J77,0,-2,,))-1,(J77/OFFSET(J77,0,-4,,))-1),"")</f>
        <v/>
      </c>
      <c r="K78" s="2" t="str">
        <f ca="1">IFERROR(IF(Inputs!$E$14 = "Semi-annual",(K77/OFFSET(K77,0,-2,,))-1,(K77/OFFSET(K77,0,-4,,))-1),"")</f>
        <v/>
      </c>
      <c r="L78" s="2" t="str">
        <f ca="1">IFERROR(IF(Inputs!$E$14 = "Semi-annual",(L77/OFFSET(L77,0,-2,,))-1,(L77/OFFSET(L77,0,-4,,))-1),"")</f>
        <v/>
      </c>
      <c r="M78" s="2" t="str">
        <f ca="1">IFERROR(IF(Inputs!$E$14 = "Semi-annual",(M77/OFFSET(M77,0,-2,,))-1,(M77/OFFSET(M77,0,-4,,))-1),"")</f>
        <v/>
      </c>
      <c r="N78" s="2" t="str">
        <f ca="1">IFERROR(IF(Inputs!$E$14 = "Semi-annual",(N77/OFFSET(N77,0,-2,,))-1,(N77/OFFSET(N77,0,-4,,))-1),"")</f>
        <v/>
      </c>
      <c r="O78" s="2" t="str">
        <f ca="1">IFERROR(IF(Inputs!$E$14 = "Semi-annual",(O77/OFFSET(O77,0,-2,,))-1,(O77/OFFSET(O77,0,-4,,))-1),"")</f>
        <v/>
      </c>
      <c r="P78" s="2" t="str">
        <f ca="1">IFERROR(IF(Inputs!$E$14 = "Semi-annual",(P77/OFFSET(P77,0,-2,,))-1,(P77/OFFSET(P77,0,-4,,))-1),"")</f>
        <v/>
      </c>
      <c r="Q78" s="2" t="str">
        <f ca="1">IFERROR(IF(Inputs!$E$14 = "Semi-annual",(Q77/OFFSET(Q77,0,-2,,))-1,(Q77/OFFSET(Q77,0,-4,,))-1),"")</f>
        <v/>
      </c>
      <c r="R78" s="2" t="str">
        <f ca="1">IFERROR(IF(Inputs!$E$14 = "Semi-annual",(R77/OFFSET(R77,0,-2,,))-1,(R77/OFFSET(R77,0,-4,,))-1),"")</f>
        <v/>
      </c>
      <c r="S78" s="2" t="str">
        <f ca="1">IFERROR(IF(Inputs!$E$14 = "Semi-annual",(S77/OFFSET(S77,0,-2,,))-1,(S77/OFFSET(S77,0,-4,,))-1),"")</f>
        <v/>
      </c>
      <c r="T78" s="2" t="str">
        <f ca="1">IFERROR(IF(Inputs!$E$14 = "Semi-annual",(T77/OFFSET(T77,0,-2,,))-1,(T77/OFFSET(T77,0,-4,,))-1),"")</f>
        <v/>
      </c>
      <c r="U78" s="2" t="str">
        <f ca="1">IFERROR(IF(Inputs!$E$14 = "Semi-annual",(U77/OFFSET(U77,0,-2,,))-1,(U77/OFFSET(U77,0,-4,,))-1),"")</f>
        <v/>
      </c>
      <c r="V78" s="2" t="str">
        <f ca="1">IFERROR(IF(Inputs!$E$14 = "Semi-annual",(V77/OFFSET(V77,0,-2,,))-1,(V77/OFFSET(V77,0,-4,,))-1),"")</f>
        <v/>
      </c>
      <c r="W78" s="2" t="str">
        <f ca="1">IFERROR(IF(Inputs!$E$14 = "Semi-annual",(W77/OFFSET(W77,0,-2,,))-1,(W77/OFFSET(W77,0,-4,,))-1),"")</f>
        <v/>
      </c>
      <c r="X78" s="2" t="str">
        <f ca="1">IFERROR(IF(Inputs!$E$14 = "Semi-annual",(X77/OFFSET(X77,0,-2,,))-1,(X77/OFFSET(X77,0,-4,,))-1),"")</f>
        <v/>
      </c>
      <c r="Y78" s="2" t="str">
        <f ca="1">IFERROR(IF(Inputs!$E$14 = "Semi-annual",(Y77/OFFSET(Y77,0,-2,,))-1,(Y77/OFFSET(Y77,0,-4,,))-1),"")</f>
        <v/>
      </c>
    </row>
    <row r="79" spans="1:25" x14ac:dyDescent="0.3">
      <c r="A79" s="8" t="s">
        <v>261</v>
      </c>
      <c r="B79" s="10"/>
      <c r="C79" s="10"/>
      <c r="D79" s="10"/>
      <c r="E79" s="10"/>
      <c r="F79" s="10"/>
      <c r="G79" s="10"/>
      <c r="H79" s="10"/>
      <c r="I79" s="10"/>
      <c r="J79" s="10"/>
      <c r="K79" s="10"/>
      <c r="L79" s="10"/>
      <c r="M79" s="10"/>
      <c r="N79" s="10"/>
      <c r="O79" s="10"/>
      <c r="P79" s="10"/>
      <c r="Q79" s="10"/>
      <c r="R79" s="10"/>
      <c r="S79" s="10"/>
      <c r="T79" s="10"/>
      <c r="U79" s="10"/>
      <c r="V79" s="10"/>
      <c r="W79" s="10"/>
      <c r="X79" s="10"/>
      <c r="Y79" s="10"/>
    </row>
    <row r="80" spans="1:25" x14ac:dyDescent="0.3">
      <c r="A80" s="14" t="s">
        <v>260</v>
      </c>
      <c r="B80" s="5"/>
      <c r="C80" s="5"/>
      <c r="D80" s="5"/>
      <c r="E80" s="5"/>
      <c r="F80" s="5"/>
      <c r="G80" s="5"/>
      <c r="H80" s="5"/>
      <c r="I80" s="5"/>
      <c r="J80" s="5"/>
      <c r="K80" s="5"/>
      <c r="L80" s="5"/>
      <c r="M80" s="5"/>
      <c r="N80" s="5"/>
      <c r="O80" s="5"/>
      <c r="P80" s="5"/>
      <c r="Q80" s="5"/>
      <c r="R80" s="5"/>
      <c r="S80" s="5"/>
      <c r="T80" s="5"/>
      <c r="U80" s="5"/>
      <c r="V80" s="5"/>
      <c r="W80" s="5"/>
      <c r="X80" s="5"/>
      <c r="Y80" s="5"/>
    </row>
    <row r="81" spans="1:25" x14ac:dyDescent="0.3">
      <c r="A81" s="85" t="s">
        <v>618</v>
      </c>
      <c r="B81" s="32"/>
      <c r="C81" s="32"/>
      <c r="D81" s="32"/>
      <c r="E81" s="32"/>
      <c r="F81" s="32"/>
      <c r="G81" s="32"/>
      <c r="H81" s="32"/>
      <c r="I81" s="32"/>
      <c r="J81" s="32"/>
      <c r="K81" s="32"/>
      <c r="L81" s="32"/>
      <c r="M81" s="32"/>
      <c r="N81" s="32"/>
      <c r="O81" s="32"/>
      <c r="P81" s="32"/>
      <c r="Q81" s="32"/>
      <c r="R81" s="32"/>
      <c r="S81" s="32"/>
      <c r="T81" s="32"/>
      <c r="U81" s="32"/>
      <c r="V81" s="32"/>
      <c r="W81" s="32"/>
      <c r="X81" s="32"/>
      <c r="Y81" s="32"/>
    </row>
    <row r="82" spans="1:25" x14ac:dyDescent="0.3">
      <c r="A82" s="85" t="s">
        <v>618</v>
      </c>
      <c r="B82" s="32"/>
      <c r="C82" s="32"/>
      <c r="D82" s="32"/>
      <c r="E82" s="32"/>
      <c r="F82" s="32"/>
      <c r="G82" s="32"/>
      <c r="H82" s="32"/>
      <c r="I82" s="32"/>
      <c r="J82" s="32"/>
      <c r="K82" s="32"/>
      <c r="L82" s="32"/>
      <c r="M82" s="32"/>
      <c r="N82" s="32"/>
      <c r="O82" s="32"/>
      <c r="P82" s="32"/>
      <c r="Q82" s="32"/>
      <c r="R82" s="32"/>
      <c r="S82" s="32"/>
      <c r="T82" s="32"/>
      <c r="U82" s="32"/>
      <c r="V82" s="32"/>
      <c r="W82" s="32"/>
      <c r="X82" s="32"/>
      <c r="Y82" s="32"/>
    </row>
    <row r="83" spans="1:25" x14ac:dyDescent="0.3">
      <c r="A83" s="85" t="s">
        <v>618</v>
      </c>
      <c r="B83" s="32"/>
      <c r="C83" s="32"/>
      <c r="D83" s="32"/>
      <c r="E83" s="32"/>
      <c r="F83" s="32"/>
      <c r="G83" s="32"/>
      <c r="H83" s="32"/>
      <c r="I83" s="32"/>
      <c r="J83" s="32"/>
      <c r="K83" s="32"/>
      <c r="L83" s="32"/>
      <c r="M83" s="32"/>
      <c r="N83" s="32"/>
      <c r="O83" s="32"/>
      <c r="P83" s="32"/>
      <c r="Q83" s="32"/>
      <c r="R83" s="32"/>
      <c r="S83" s="32"/>
      <c r="T83" s="32"/>
      <c r="U83" s="32"/>
      <c r="V83" s="32"/>
      <c r="W83" s="32"/>
      <c r="X83" s="32"/>
      <c r="Y83" s="32"/>
    </row>
    <row r="84" spans="1:25" x14ac:dyDescent="0.3">
      <c r="A84" s="85" t="s">
        <v>618</v>
      </c>
      <c r="B84" s="32"/>
      <c r="C84" s="32"/>
      <c r="D84" s="32"/>
      <c r="E84" s="32"/>
      <c r="F84" s="32"/>
      <c r="G84" s="32"/>
      <c r="H84" s="32"/>
      <c r="I84" s="32"/>
      <c r="J84" s="32"/>
      <c r="K84" s="32"/>
      <c r="L84" s="32"/>
      <c r="M84" s="32"/>
      <c r="N84" s="32"/>
      <c r="O84" s="32"/>
      <c r="P84" s="32"/>
      <c r="Q84" s="32"/>
      <c r="R84" s="32"/>
      <c r="S84" s="32"/>
      <c r="T84" s="32"/>
      <c r="U84" s="32"/>
      <c r="V84" s="32"/>
      <c r="W84" s="32"/>
      <c r="X84" s="32"/>
      <c r="Y84" s="32"/>
    </row>
    <row r="85" spans="1:25" x14ac:dyDescent="0.3">
      <c r="A85" s="85" t="s">
        <v>341</v>
      </c>
      <c r="B85" s="32"/>
      <c r="C85" s="32"/>
      <c r="D85" s="32"/>
      <c r="E85" s="32"/>
      <c r="F85" s="32"/>
      <c r="G85" s="32"/>
      <c r="H85" s="32"/>
      <c r="I85" s="32"/>
      <c r="J85" s="32"/>
      <c r="K85" s="32"/>
      <c r="L85" s="32"/>
      <c r="M85" s="32"/>
      <c r="N85" s="32"/>
      <c r="O85" s="32"/>
      <c r="P85" s="32"/>
      <c r="Q85" s="32"/>
      <c r="R85" s="32"/>
      <c r="S85" s="32"/>
      <c r="T85" s="32"/>
      <c r="U85" s="32"/>
      <c r="V85" s="32"/>
      <c r="W85" s="32"/>
      <c r="X85" s="32"/>
      <c r="Y85" s="32"/>
    </row>
    <row r="86" spans="1:25" s="44" customFormat="1" x14ac:dyDescent="0.3">
      <c r="A86" s="42" t="s">
        <v>257</v>
      </c>
      <c r="B86" s="65">
        <f>SUM(B81:B85)</f>
        <v>0</v>
      </c>
      <c r="C86" s="65">
        <f>SUM(C81:C85)</f>
        <v>0</v>
      </c>
      <c r="D86" s="65">
        <f>SUM(D81:D85)</f>
        <v>0</v>
      </c>
      <c r="E86" s="65">
        <f>SUM(E81:E85)</f>
        <v>0</v>
      </c>
      <c r="F86" s="65"/>
      <c r="G86" s="65"/>
      <c r="H86" s="65"/>
      <c r="I86" s="65"/>
      <c r="J86" s="65"/>
      <c r="K86" s="65"/>
      <c r="L86" s="65"/>
      <c r="M86" s="65"/>
      <c r="N86" s="65"/>
      <c r="O86" s="65"/>
      <c r="P86" s="65"/>
      <c r="Q86" s="65"/>
      <c r="R86" s="65"/>
      <c r="S86" s="65"/>
      <c r="T86" s="65"/>
      <c r="U86" s="65"/>
      <c r="V86" s="65"/>
      <c r="W86" s="65"/>
      <c r="X86" s="65"/>
      <c r="Y86" s="65"/>
    </row>
    <row r="87" spans="1:25" x14ac:dyDescent="0.3">
      <c r="A87" s="8" t="s">
        <v>259</v>
      </c>
      <c r="B87" s="10"/>
      <c r="C87" s="10"/>
      <c r="D87" s="10"/>
      <c r="E87" s="10"/>
      <c r="F87" s="10"/>
      <c r="G87" s="10"/>
      <c r="H87" s="10"/>
      <c r="I87" s="10"/>
      <c r="J87" s="10"/>
      <c r="K87" s="10"/>
      <c r="L87" s="10"/>
      <c r="M87" s="10"/>
      <c r="N87" s="10"/>
      <c r="O87" s="10"/>
      <c r="P87" s="10"/>
      <c r="Q87" s="10"/>
      <c r="R87" s="10"/>
      <c r="S87" s="10"/>
      <c r="T87" s="10"/>
      <c r="U87" s="10"/>
      <c r="V87" s="10"/>
      <c r="W87" s="10"/>
      <c r="X87" s="10"/>
      <c r="Y87" s="10"/>
    </row>
    <row r="88" spans="1:25" x14ac:dyDescent="0.3">
      <c r="A88" s="85" t="str">
        <f>A81</f>
        <v>[Insert Breakdown As Applicable]</v>
      </c>
      <c r="B88" s="61" t="str">
        <f>IFERROR(B81/B$86,"N/A")</f>
        <v>N/A</v>
      </c>
      <c r="C88" s="61" t="str">
        <f t="shared" ref="C88:J88" si="23">IFERROR(C81/C$86,"N/A")</f>
        <v>N/A</v>
      </c>
      <c r="D88" s="61" t="str">
        <f t="shared" si="23"/>
        <v>N/A</v>
      </c>
      <c r="E88" s="61" t="str">
        <f t="shared" si="23"/>
        <v>N/A</v>
      </c>
      <c r="F88" s="61" t="str">
        <f t="shared" si="23"/>
        <v>N/A</v>
      </c>
      <c r="G88" s="61" t="str">
        <f t="shared" si="23"/>
        <v>N/A</v>
      </c>
      <c r="H88" s="61" t="str">
        <f t="shared" si="23"/>
        <v>N/A</v>
      </c>
      <c r="I88" s="61" t="str">
        <f t="shared" si="23"/>
        <v>N/A</v>
      </c>
      <c r="J88" s="61" t="str">
        <f t="shared" si="23"/>
        <v>N/A</v>
      </c>
      <c r="K88" s="61" t="str">
        <f>IFERROR(K81/K$86,"N/A")</f>
        <v>N/A</v>
      </c>
      <c r="L88" s="61" t="str">
        <f t="shared" ref="L88:N88" si="24">IFERROR(L81/L$86,"N/A")</f>
        <v>N/A</v>
      </c>
      <c r="M88" s="61" t="str">
        <f t="shared" si="24"/>
        <v>N/A</v>
      </c>
      <c r="N88" s="61" t="str">
        <f t="shared" si="24"/>
        <v>N/A</v>
      </c>
      <c r="O88" s="61" t="str">
        <f>IFERROR(O81/O$86,"N/A")</f>
        <v>N/A</v>
      </c>
      <c r="P88" s="61" t="str">
        <f t="shared" ref="P88:Q88" si="25">IFERROR(P81/P$86,"N/A")</f>
        <v>N/A</v>
      </c>
      <c r="Q88" s="61" t="str">
        <f t="shared" si="25"/>
        <v>N/A</v>
      </c>
      <c r="R88" s="61" t="str">
        <f t="shared" ref="R88:U88" si="26">IFERROR(R81/R$86,"N/A")</f>
        <v>N/A</v>
      </c>
      <c r="S88" s="61" t="str">
        <f t="shared" si="26"/>
        <v>N/A</v>
      </c>
      <c r="T88" s="61" t="str">
        <f t="shared" si="26"/>
        <v>N/A</v>
      </c>
      <c r="U88" s="61" t="str">
        <f t="shared" si="26"/>
        <v>N/A</v>
      </c>
      <c r="V88" s="61" t="str">
        <f t="shared" ref="V88:Y88" si="27">IFERROR(V81/V$86,"N/A")</f>
        <v>N/A</v>
      </c>
      <c r="W88" s="61" t="str">
        <f t="shared" si="27"/>
        <v>N/A</v>
      </c>
      <c r="X88" s="61" t="str">
        <f t="shared" si="27"/>
        <v>N/A</v>
      </c>
      <c r="Y88" s="61" t="str">
        <f t="shared" si="27"/>
        <v>N/A</v>
      </c>
    </row>
    <row r="89" spans="1:25" x14ac:dyDescent="0.3">
      <c r="A89" s="85" t="str">
        <f t="shared" ref="A89:A91" si="28">A82</f>
        <v>[Insert Breakdown As Applicable]</v>
      </c>
      <c r="B89" s="61" t="str">
        <f t="shared" ref="B89:J92" si="29">IFERROR(B82/B$86,"N/A")</f>
        <v>N/A</v>
      </c>
      <c r="C89" s="61" t="str">
        <f t="shared" si="29"/>
        <v>N/A</v>
      </c>
      <c r="D89" s="61" t="str">
        <f t="shared" si="29"/>
        <v>N/A</v>
      </c>
      <c r="E89" s="61" t="str">
        <f t="shared" si="29"/>
        <v>N/A</v>
      </c>
      <c r="F89" s="61" t="str">
        <f t="shared" si="29"/>
        <v>N/A</v>
      </c>
      <c r="G89" s="61" t="str">
        <f t="shared" si="29"/>
        <v>N/A</v>
      </c>
      <c r="H89" s="61" t="str">
        <f t="shared" si="29"/>
        <v>N/A</v>
      </c>
      <c r="I89" s="61" t="str">
        <f t="shared" si="29"/>
        <v>N/A</v>
      </c>
      <c r="J89" s="61" t="str">
        <f t="shared" si="29"/>
        <v>N/A</v>
      </c>
      <c r="K89" s="61" t="str">
        <f>IFERROR(K82/K$86,"N/A")</f>
        <v>N/A</v>
      </c>
      <c r="L89" s="61" t="str">
        <f t="shared" ref="L89:N89" si="30">IFERROR(L82/L$86,"N/A")</f>
        <v>N/A</v>
      </c>
      <c r="M89" s="61" t="str">
        <f t="shared" si="30"/>
        <v>N/A</v>
      </c>
      <c r="N89" s="61" t="str">
        <f t="shared" si="30"/>
        <v>N/A</v>
      </c>
      <c r="O89" s="61" t="str">
        <f>IFERROR(O82/O$86,"N/A")</f>
        <v>N/A</v>
      </c>
      <c r="P89" s="61" t="str">
        <f t="shared" ref="P89:Q89" si="31">IFERROR(P82/P$86,"N/A")</f>
        <v>N/A</v>
      </c>
      <c r="Q89" s="61" t="str">
        <f t="shared" si="31"/>
        <v>N/A</v>
      </c>
      <c r="R89" s="61" t="str">
        <f t="shared" ref="R89:U89" si="32">IFERROR(R82/R$86,"N/A")</f>
        <v>N/A</v>
      </c>
      <c r="S89" s="61" t="str">
        <f t="shared" si="32"/>
        <v>N/A</v>
      </c>
      <c r="T89" s="61" t="str">
        <f t="shared" si="32"/>
        <v>N/A</v>
      </c>
      <c r="U89" s="61" t="str">
        <f t="shared" si="32"/>
        <v>N/A</v>
      </c>
      <c r="V89" s="61" t="str">
        <f t="shared" ref="V89:Y89" si="33">IFERROR(V82/V$86,"N/A")</f>
        <v>N/A</v>
      </c>
      <c r="W89" s="61" t="str">
        <f t="shared" si="33"/>
        <v>N/A</v>
      </c>
      <c r="X89" s="61" t="str">
        <f t="shared" si="33"/>
        <v>N/A</v>
      </c>
      <c r="Y89" s="61" t="str">
        <f t="shared" si="33"/>
        <v>N/A</v>
      </c>
    </row>
    <row r="90" spans="1:25" x14ac:dyDescent="0.3">
      <c r="A90" s="85" t="str">
        <f t="shared" si="28"/>
        <v>[Insert Breakdown As Applicable]</v>
      </c>
      <c r="B90" s="61" t="str">
        <f t="shared" si="29"/>
        <v>N/A</v>
      </c>
      <c r="C90" s="61" t="str">
        <f t="shared" si="29"/>
        <v>N/A</v>
      </c>
      <c r="D90" s="61" t="str">
        <f t="shared" si="29"/>
        <v>N/A</v>
      </c>
      <c r="E90" s="61" t="str">
        <f t="shared" si="29"/>
        <v>N/A</v>
      </c>
      <c r="F90" s="61" t="str">
        <f t="shared" si="29"/>
        <v>N/A</v>
      </c>
      <c r="G90" s="61" t="str">
        <f t="shared" si="29"/>
        <v>N/A</v>
      </c>
      <c r="H90" s="61" t="str">
        <f t="shared" si="29"/>
        <v>N/A</v>
      </c>
      <c r="I90" s="61" t="str">
        <f t="shared" si="29"/>
        <v>N/A</v>
      </c>
      <c r="J90" s="61" t="str">
        <f t="shared" si="29"/>
        <v>N/A</v>
      </c>
      <c r="K90" s="61" t="str">
        <f>IFERROR(K83/K$86,"N/A")</f>
        <v>N/A</v>
      </c>
      <c r="L90" s="61" t="str">
        <f t="shared" ref="L90:N90" si="34">IFERROR(L83/L$86,"N/A")</f>
        <v>N/A</v>
      </c>
      <c r="M90" s="61" t="str">
        <f t="shared" si="34"/>
        <v>N/A</v>
      </c>
      <c r="N90" s="61" t="str">
        <f t="shared" si="34"/>
        <v>N/A</v>
      </c>
      <c r="O90" s="61" t="str">
        <f>IFERROR(O83/O$86,"N/A")</f>
        <v>N/A</v>
      </c>
      <c r="P90" s="61" t="str">
        <f t="shared" ref="P90:Q90" si="35">IFERROR(P83/P$86,"N/A")</f>
        <v>N/A</v>
      </c>
      <c r="Q90" s="61" t="str">
        <f t="shared" si="35"/>
        <v>N/A</v>
      </c>
      <c r="R90" s="61" t="str">
        <f t="shared" ref="R90:U90" si="36">IFERROR(R83/R$86,"N/A")</f>
        <v>N/A</v>
      </c>
      <c r="S90" s="61" t="str">
        <f t="shared" si="36"/>
        <v>N/A</v>
      </c>
      <c r="T90" s="61" t="str">
        <f t="shared" si="36"/>
        <v>N/A</v>
      </c>
      <c r="U90" s="61" t="str">
        <f t="shared" si="36"/>
        <v>N/A</v>
      </c>
      <c r="V90" s="61" t="str">
        <f t="shared" ref="V90:Y90" si="37">IFERROR(V83/V$86,"N/A")</f>
        <v>N/A</v>
      </c>
      <c r="W90" s="61" t="str">
        <f t="shared" si="37"/>
        <v>N/A</v>
      </c>
      <c r="X90" s="61" t="str">
        <f t="shared" si="37"/>
        <v>N/A</v>
      </c>
      <c r="Y90" s="61" t="str">
        <f t="shared" si="37"/>
        <v>N/A</v>
      </c>
    </row>
    <row r="91" spans="1:25" x14ac:dyDescent="0.3">
      <c r="A91" s="85" t="str">
        <f t="shared" si="28"/>
        <v>[Insert Breakdown As Applicable]</v>
      </c>
      <c r="B91" s="61" t="str">
        <f t="shared" si="29"/>
        <v>N/A</v>
      </c>
      <c r="C91" s="61" t="str">
        <f t="shared" si="29"/>
        <v>N/A</v>
      </c>
      <c r="D91" s="61" t="str">
        <f t="shared" si="29"/>
        <v>N/A</v>
      </c>
      <c r="E91" s="61" t="str">
        <f t="shared" si="29"/>
        <v>N/A</v>
      </c>
      <c r="F91" s="61" t="str">
        <f t="shared" si="29"/>
        <v>N/A</v>
      </c>
      <c r="G91" s="61" t="str">
        <f t="shared" si="29"/>
        <v>N/A</v>
      </c>
      <c r="H91" s="61" t="str">
        <f t="shared" si="29"/>
        <v>N/A</v>
      </c>
      <c r="I91" s="61" t="str">
        <f t="shared" si="29"/>
        <v>N/A</v>
      </c>
      <c r="J91" s="61" t="str">
        <f t="shared" si="29"/>
        <v>N/A</v>
      </c>
      <c r="K91" s="61" t="str">
        <f>IFERROR(K84/K$86,"N/A")</f>
        <v>N/A</v>
      </c>
      <c r="L91" s="61" t="str">
        <f t="shared" ref="L91:N91" si="38">IFERROR(L84/L$86,"N/A")</f>
        <v>N/A</v>
      </c>
      <c r="M91" s="61" t="str">
        <f t="shared" si="38"/>
        <v>N/A</v>
      </c>
      <c r="N91" s="61" t="str">
        <f t="shared" si="38"/>
        <v>N/A</v>
      </c>
      <c r="O91" s="61" t="str">
        <f>IFERROR(O84/O$86,"N/A")</f>
        <v>N/A</v>
      </c>
      <c r="P91" s="61" t="str">
        <f t="shared" ref="P91:Q91" si="39">IFERROR(P84/P$86,"N/A")</f>
        <v>N/A</v>
      </c>
      <c r="Q91" s="61" t="str">
        <f t="shared" si="39"/>
        <v>N/A</v>
      </c>
      <c r="R91" s="61" t="str">
        <f t="shared" ref="R91:U91" si="40">IFERROR(R84/R$86,"N/A")</f>
        <v>N/A</v>
      </c>
      <c r="S91" s="61" t="str">
        <f t="shared" si="40"/>
        <v>N/A</v>
      </c>
      <c r="T91" s="61" t="str">
        <f t="shared" si="40"/>
        <v>N/A</v>
      </c>
      <c r="U91" s="61" t="str">
        <f t="shared" si="40"/>
        <v>N/A</v>
      </c>
      <c r="V91" s="61" t="str">
        <f t="shared" ref="V91:Y91" si="41">IFERROR(V84/V$86,"N/A")</f>
        <v>N/A</v>
      </c>
      <c r="W91" s="61" t="str">
        <f t="shared" si="41"/>
        <v>N/A</v>
      </c>
      <c r="X91" s="61" t="str">
        <f t="shared" si="41"/>
        <v>N/A</v>
      </c>
      <c r="Y91" s="61" t="str">
        <f t="shared" si="41"/>
        <v>N/A</v>
      </c>
    </row>
    <row r="92" spans="1:25" x14ac:dyDescent="0.3">
      <c r="A92" s="85" t="s">
        <v>341</v>
      </c>
      <c r="B92" s="61" t="str">
        <f t="shared" si="29"/>
        <v>N/A</v>
      </c>
      <c r="C92" s="61" t="str">
        <f t="shared" si="29"/>
        <v>N/A</v>
      </c>
      <c r="D92" s="61" t="str">
        <f t="shared" si="29"/>
        <v>N/A</v>
      </c>
      <c r="E92" s="61" t="str">
        <f t="shared" si="29"/>
        <v>N/A</v>
      </c>
      <c r="F92" s="61" t="str">
        <f t="shared" si="29"/>
        <v>N/A</v>
      </c>
      <c r="G92" s="61" t="str">
        <f t="shared" si="29"/>
        <v>N/A</v>
      </c>
      <c r="H92" s="61" t="str">
        <f t="shared" si="29"/>
        <v>N/A</v>
      </c>
      <c r="I92" s="61" t="str">
        <f t="shared" si="29"/>
        <v>N/A</v>
      </c>
      <c r="J92" s="61" t="str">
        <f t="shared" si="29"/>
        <v>N/A</v>
      </c>
      <c r="K92" s="61" t="str">
        <f>IFERROR(K85/K$86,"N/A")</f>
        <v>N/A</v>
      </c>
      <c r="L92" s="61" t="str">
        <f t="shared" ref="L92:N92" si="42">IFERROR(L85/L$86,"N/A")</f>
        <v>N/A</v>
      </c>
      <c r="M92" s="61" t="str">
        <f t="shared" si="42"/>
        <v>N/A</v>
      </c>
      <c r="N92" s="61" t="str">
        <f t="shared" si="42"/>
        <v>N/A</v>
      </c>
      <c r="O92" s="61" t="str">
        <f>IFERROR(O85/O$86,"N/A")</f>
        <v>N/A</v>
      </c>
      <c r="P92" s="61" t="str">
        <f t="shared" ref="P92:Q92" si="43">IFERROR(P85/P$86,"N/A")</f>
        <v>N/A</v>
      </c>
      <c r="Q92" s="61" t="str">
        <f t="shared" si="43"/>
        <v>N/A</v>
      </c>
      <c r="R92" s="61" t="str">
        <f t="shared" ref="R92:U92" si="44">IFERROR(R85/R$86,"N/A")</f>
        <v>N/A</v>
      </c>
      <c r="S92" s="61" t="str">
        <f t="shared" si="44"/>
        <v>N/A</v>
      </c>
      <c r="T92" s="61" t="str">
        <f t="shared" si="44"/>
        <v>N/A</v>
      </c>
      <c r="U92" s="61" t="str">
        <f t="shared" si="44"/>
        <v>N/A</v>
      </c>
      <c r="V92" s="61" t="str">
        <f t="shared" ref="V92:Y92" si="45">IFERROR(V85/V$86,"N/A")</f>
        <v>N/A</v>
      </c>
      <c r="W92" s="61" t="str">
        <f t="shared" si="45"/>
        <v>N/A</v>
      </c>
      <c r="X92" s="61" t="str">
        <f t="shared" si="45"/>
        <v>N/A</v>
      </c>
      <c r="Y92" s="61" t="str">
        <f t="shared" si="45"/>
        <v>N/A</v>
      </c>
    </row>
    <row r="93" spans="1:25" x14ac:dyDescent="0.3">
      <c r="A93" s="85" t="s">
        <v>304</v>
      </c>
      <c r="B93" s="238">
        <f>SUM(B88:B92)</f>
        <v>0</v>
      </c>
      <c r="C93" s="238">
        <f t="shared" ref="C93:J93" si="46">SUM(C88:C92)</f>
        <v>0</v>
      </c>
      <c r="D93" s="238">
        <f t="shared" si="46"/>
        <v>0</v>
      </c>
      <c r="E93" s="238">
        <f t="shared" si="46"/>
        <v>0</v>
      </c>
      <c r="F93" s="238">
        <f t="shared" si="46"/>
        <v>0</v>
      </c>
      <c r="G93" s="238">
        <f t="shared" si="46"/>
        <v>0</v>
      </c>
      <c r="H93" s="238">
        <f t="shared" si="46"/>
        <v>0</v>
      </c>
      <c r="I93" s="238">
        <f t="shared" si="46"/>
        <v>0</v>
      </c>
      <c r="J93" s="238">
        <f t="shared" si="46"/>
        <v>0</v>
      </c>
      <c r="K93" s="238">
        <f>SUM(K88:K92)</f>
        <v>0</v>
      </c>
      <c r="L93" s="238">
        <f t="shared" ref="L93:N93" si="47">SUM(L88:L92)</f>
        <v>0</v>
      </c>
      <c r="M93" s="238">
        <f t="shared" si="47"/>
        <v>0</v>
      </c>
      <c r="N93" s="238">
        <f t="shared" si="47"/>
        <v>0</v>
      </c>
      <c r="O93" s="238">
        <f>SUM(O88:O92)</f>
        <v>0</v>
      </c>
      <c r="P93" s="238">
        <f t="shared" ref="P93:Q93" si="48">SUM(P88:P92)</f>
        <v>0</v>
      </c>
      <c r="Q93" s="238">
        <f t="shared" si="48"/>
        <v>0</v>
      </c>
      <c r="R93" s="238">
        <f t="shared" ref="R93:U93" si="49">SUM(R88:R92)</f>
        <v>0</v>
      </c>
      <c r="S93" s="238">
        <f t="shared" si="49"/>
        <v>0</v>
      </c>
      <c r="T93" s="238">
        <f t="shared" si="49"/>
        <v>0</v>
      </c>
      <c r="U93" s="238">
        <f t="shared" si="49"/>
        <v>0</v>
      </c>
      <c r="V93" s="238">
        <f t="shared" ref="V93:Y93" si="50">SUM(V88:V92)</f>
        <v>0</v>
      </c>
      <c r="W93" s="238">
        <f t="shared" si="50"/>
        <v>0</v>
      </c>
      <c r="X93" s="238">
        <f t="shared" si="50"/>
        <v>0</v>
      </c>
      <c r="Y93" s="238">
        <f t="shared" si="50"/>
        <v>0</v>
      </c>
    </row>
  </sheetData>
  <mergeCells count="2">
    <mergeCell ref="A1:Q1"/>
    <mergeCell ref="U1:Y1"/>
  </mergeCells>
  <pageMargins left="0.70866141732283472" right="0.70866141732283472" top="0.74803149606299213" bottom="0.74803149606299213" header="0.31496062992125984" footer="0.31496062992125984"/>
  <pageSetup paperSize="9" scale="77" orientation="portrait" r:id="rId1"/>
  <headerFooter alignWithMargins="0"/>
  <rowBreaks count="1" manualBreakCount="1">
    <brk id="67" max="7" man="1"/>
  </rowBreaks>
  <ignoredErrors>
    <ignoredError sqref="F27:J28 F41:J41 F54:J54 F57:J57 F68:J68 F79:J79 F21:J21" formula="1"/>
    <ignoredError sqref="C86:E8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sheetPr>
  <dimension ref="A1:AB93"/>
  <sheetViews>
    <sheetView zoomScaleNormal="100" workbookViewId="0">
      <pane xSplit="1" ySplit="7" topLeftCell="J27" activePane="bottomRight" state="frozen"/>
      <selection pane="topRight" activeCell="B1" sqref="B1"/>
      <selection pane="bottomLeft" activeCell="A8" sqref="A8"/>
      <selection pane="bottomRight" activeCell="U69" sqref="U69"/>
    </sheetView>
  </sheetViews>
  <sheetFormatPr defaultColWidth="8.88671875" defaultRowHeight="14.4" x14ac:dyDescent="0.3"/>
  <cols>
    <col min="1" max="1" width="36.44140625" style="13" bestFit="1" customWidth="1"/>
    <col min="2" max="2" width="11.44140625" style="13" bestFit="1" customWidth="1"/>
    <col min="3" max="4" width="11.109375" style="13" bestFit="1" customWidth="1"/>
    <col min="5" max="6" width="10.6640625" style="13" bestFit="1" customWidth="1"/>
    <col min="7" max="7" width="10.44140625" style="13" bestFit="1" customWidth="1"/>
    <col min="8" max="11" width="11" style="13" customWidth="1"/>
    <col min="12" max="17" width="10.88671875" style="13" bestFit="1" customWidth="1"/>
    <col min="18" max="21" width="10.88671875" style="13" customWidth="1"/>
    <col min="22" max="22" width="10.44140625" style="13" customWidth="1"/>
    <col min="23" max="23" width="10.33203125" style="13" customWidth="1"/>
    <col min="24" max="24" width="10.88671875" style="13" customWidth="1"/>
    <col min="25" max="25" width="10.33203125" style="13" customWidth="1"/>
    <col min="26" max="16384" width="8.88671875" style="13"/>
  </cols>
  <sheetData>
    <row r="1" spans="1:28" ht="28.8" x14ac:dyDescent="0.55000000000000004">
      <c r="A1" s="349" t="str">
        <f>IF(Inputs!$E$14 ="Semi-annual",(Inputs!E9 &amp; " - Semi-Annual Revenue Analysis "&amp; Inputs!$E$19), (Inputs!E9 &amp; " - Qtrly Revenue Analysis "&amp; Inputs!$E$19))</f>
        <v>Air Canada - Qtrly Revenue Analysis US$</v>
      </c>
      <c r="B1" s="349"/>
      <c r="C1" s="349"/>
      <c r="D1" s="349"/>
      <c r="E1" s="349"/>
      <c r="F1" s="349"/>
      <c r="G1" s="349"/>
      <c r="H1" s="349"/>
      <c r="I1" s="349"/>
      <c r="J1" s="349"/>
      <c r="K1" s="349"/>
      <c r="L1" s="349"/>
      <c r="M1" s="349"/>
      <c r="N1" s="349"/>
      <c r="O1" s="349"/>
      <c r="P1" s="349"/>
      <c r="Q1" s="349"/>
      <c r="R1" s="320"/>
      <c r="S1" s="320"/>
      <c r="T1" s="320"/>
      <c r="U1" s="349"/>
      <c r="V1" s="349"/>
      <c r="W1" s="349"/>
      <c r="X1" s="349"/>
      <c r="Y1" s="349"/>
    </row>
    <row r="2" spans="1:28" x14ac:dyDescent="0.3">
      <c r="A2" s="3"/>
      <c r="B2" s="3" t="str">
        <f>'Interim Operational Data'!B2</f>
        <v>Q1</v>
      </c>
      <c r="C2" s="3" t="str">
        <f>'Interim Operational Data'!C2</f>
        <v>Q2</v>
      </c>
      <c r="D2" s="3" t="str">
        <f>'Interim Operational Data'!D2</f>
        <v>Q3</v>
      </c>
      <c r="E2" s="3" t="str">
        <f>'Interim Operational Data'!E2</f>
        <v>Q4</v>
      </c>
      <c r="F2" s="3" t="str">
        <f>'Interim Operational Data'!F2</f>
        <v>Q1</v>
      </c>
      <c r="G2" s="3" t="str">
        <f>'Interim Operational Data'!G2</f>
        <v>Q2</v>
      </c>
      <c r="H2" s="3" t="str">
        <f>'Interim Operational Data'!H2</f>
        <v>Q3</v>
      </c>
      <c r="I2" s="3" t="str">
        <f>'Interim Operational Data'!I2</f>
        <v>Q4</v>
      </c>
      <c r="J2" s="3" t="str">
        <f>'Interim Operational Data'!J2</f>
        <v>Q1</v>
      </c>
      <c r="K2" s="3" t="str">
        <f>'Interim Operational Data'!K2</f>
        <v>Q2</v>
      </c>
      <c r="L2" s="3" t="str">
        <f>'Interim Operational Data'!L2</f>
        <v>Q3</v>
      </c>
      <c r="M2" s="3" t="str">
        <f>'Interim Operational Data'!M2</f>
        <v>Q4</v>
      </c>
      <c r="N2" s="3" t="str">
        <f>'Interim Operational Data'!N2</f>
        <v>Q1</v>
      </c>
      <c r="O2" s="3" t="str">
        <f>'Interim Operational Data'!O2</f>
        <v>Q2</v>
      </c>
      <c r="P2" s="3" t="str">
        <f>'Interim Operational Data'!P2</f>
        <v>Q3</v>
      </c>
      <c r="Q2" s="3" t="str">
        <f>'Interim Operational Data'!Q2</f>
        <v>Q4</v>
      </c>
      <c r="R2" s="3" t="str">
        <f>'Interim Operational Data'!R2</f>
        <v>Q1</v>
      </c>
      <c r="S2" s="3" t="str">
        <f>'Interim Operational Data'!S2</f>
        <v>Q2</v>
      </c>
      <c r="T2" s="3" t="str">
        <f>'Interim Operational Data'!T2</f>
        <v>Q3</v>
      </c>
      <c r="U2" s="3" t="str">
        <f>'Interim Operational Data'!U2</f>
        <v>Q4</v>
      </c>
      <c r="V2" s="3" t="str">
        <f>'Interim Operational Data'!V2</f>
        <v>Q1</v>
      </c>
      <c r="W2" s="3" t="str">
        <f>'Interim Operational Data'!W2</f>
        <v>Q2</v>
      </c>
      <c r="X2" s="3" t="str">
        <f>'Interim Operational Data'!X2</f>
        <v>Q3</v>
      </c>
      <c r="Y2" s="3" t="str">
        <f>'Interim Operational Data'!Y2</f>
        <v>Q4</v>
      </c>
      <c r="Z2" s="16"/>
      <c r="AA2" s="16"/>
      <c r="AB2" s="16"/>
    </row>
    <row r="3" spans="1:28" x14ac:dyDescent="0.3">
      <c r="A3" s="3"/>
      <c r="B3" s="67">
        <f>'Interim Revenue Analysis'!B3</f>
        <v>42094</v>
      </c>
      <c r="C3" s="67">
        <f>'Interim Revenue Analysis'!C3</f>
        <v>42185</v>
      </c>
      <c r="D3" s="67">
        <f>'Interim Revenue Analysis'!D3</f>
        <v>42277</v>
      </c>
      <c r="E3" s="67">
        <f>'Interim Revenue Analysis'!E3</f>
        <v>42369</v>
      </c>
      <c r="F3" s="67">
        <f>'Interim Revenue Analysis'!F3</f>
        <v>42460</v>
      </c>
      <c r="G3" s="67">
        <f>'Interim Revenue Analysis'!G3</f>
        <v>42551</v>
      </c>
      <c r="H3" s="67">
        <f>'Interim Revenue Analysis'!H3</f>
        <v>42643</v>
      </c>
      <c r="I3" s="67">
        <f>'Interim Revenue Analysis'!I3</f>
        <v>42735</v>
      </c>
      <c r="J3" s="67">
        <f>'Interim Revenue Analysis'!J3</f>
        <v>42825</v>
      </c>
      <c r="K3" s="67">
        <f>'Interim Revenue Analysis'!K3</f>
        <v>42916</v>
      </c>
      <c r="L3" s="67">
        <f>'Interim Revenue Analysis'!L3</f>
        <v>43008</v>
      </c>
      <c r="M3" s="67">
        <f>'Interim Revenue Analysis'!M3</f>
        <v>43100</v>
      </c>
      <c r="N3" s="67">
        <f>'Interim Revenue Analysis'!N3</f>
        <v>43190</v>
      </c>
      <c r="O3" s="67">
        <f>'Interim Revenue Analysis'!O3</f>
        <v>43281</v>
      </c>
      <c r="P3" s="67">
        <f>'Interim Revenue Analysis'!P3</f>
        <v>43373</v>
      </c>
      <c r="Q3" s="67">
        <f>'Interim Revenue Analysis'!Q3</f>
        <v>43465</v>
      </c>
      <c r="R3" s="67">
        <f>'Interim Revenue Analysis'!R3</f>
        <v>43555</v>
      </c>
      <c r="S3" s="67">
        <f>'Interim Revenue Analysis'!S3</f>
        <v>43646</v>
      </c>
      <c r="T3" s="67">
        <f>'Interim Revenue Analysis'!T3</f>
        <v>43738</v>
      </c>
      <c r="U3" s="67">
        <f>'Interim Revenue Analysis'!U3</f>
        <v>43830</v>
      </c>
      <c r="V3" s="67">
        <f>'Interim Revenue Analysis'!V3</f>
        <v>43921</v>
      </c>
      <c r="W3" s="67">
        <f>'Interim Revenue Analysis'!W3</f>
        <v>44012</v>
      </c>
      <c r="X3" s="67">
        <f>'Interim Revenue Analysis'!X3</f>
        <v>44104</v>
      </c>
      <c r="Y3" s="67">
        <f>'Interim Revenue Analysis'!Y3</f>
        <v>44196</v>
      </c>
      <c r="Z3" s="16"/>
      <c r="AA3" s="16"/>
      <c r="AB3" s="16"/>
    </row>
    <row r="4" spans="1:28" x14ac:dyDescent="0.3">
      <c r="A4" s="3"/>
      <c r="B4" s="3" t="s">
        <v>1</v>
      </c>
      <c r="C4" s="3" t="s">
        <v>1</v>
      </c>
      <c r="D4" s="3" t="s">
        <v>1</v>
      </c>
      <c r="E4" s="3" t="s">
        <v>1</v>
      </c>
      <c r="F4" s="3" t="s">
        <v>1</v>
      </c>
      <c r="G4" s="3" t="s">
        <v>1</v>
      </c>
      <c r="H4" s="3" t="s">
        <v>1</v>
      </c>
      <c r="I4" s="3" t="s">
        <v>1</v>
      </c>
      <c r="J4" s="3" t="s">
        <v>1</v>
      </c>
      <c r="K4" s="3" t="s">
        <v>1</v>
      </c>
      <c r="L4" s="3" t="s">
        <v>1</v>
      </c>
      <c r="M4" s="3" t="s">
        <v>1</v>
      </c>
      <c r="N4" s="3" t="s">
        <v>1</v>
      </c>
      <c r="O4" s="3" t="s">
        <v>1</v>
      </c>
      <c r="P4" s="3" t="s">
        <v>1</v>
      </c>
      <c r="Q4" s="3" t="s">
        <v>1</v>
      </c>
      <c r="R4" s="3" t="s">
        <v>1</v>
      </c>
      <c r="S4" s="3" t="s">
        <v>1</v>
      </c>
      <c r="T4" s="3" t="s">
        <v>1</v>
      </c>
      <c r="U4" s="3" t="s">
        <v>1</v>
      </c>
      <c r="V4" s="3" t="s">
        <v>1</v>
      </c>
      <c r="W4" s="3" t="s">
        <v>1</v>
      </c>
      <c r="X4" s="3" t="s">
        <v>1</v>
      </c>
      <c r="Y4" s="3" t="s">
        <v>1</v>
      </c>
      <c r="Z4" s="16"/>
      <c r="AA4" s="16"/>
      <c r="AB4" s="16"/>
    </row>
    <row r="5" spans="1:28" x14ac:dyDescent="0.3">
      <c r="A5" s="3"/>
      <c r="B5" s="3" t="str">
        <f>Inputs!$E$19</f>
        <v>US$</v>
      </c>
      <c r="C5" s="3" t="str">
        <f>Inputs!$E$19</f>
        <v>US$</v>
      </c>
      <c r="D5" s="3" t="str">
        <f>Inputs!$E$19</f>
        <v>US$</v>
      </c>
      <c r="E5" s="3" t="str">
        <f>Inputs!$E$19</f>
        <v>US$</v>
      </c>
      <c r="F5" s="3" t="str">
        <f>Inputs!$E$19</f>
        <v>US$</v>
      </c>
      <c r="G5" s="3" t="str">
        <f>Inputs!$E$19</f>
        <v>US$</v>
      </c>
      <c r="H5" s="3" t="str">
        <f>Inputs!$E$19</f>
        <v>US$</v>
      </c>
      <c r="I5" s="3" t="str">
        <f>Inputs!$E$19</f>
        <v>US$</v>
      </c>
      <c r="J5" s="3" t="str">
        <f>Inputs!$E$19</f>
        <v>US$</v>
      </c>
      <c r="K5" s="3" t="str">
        <f>Inputs!$E$19</f>
        <v>US$</v>
      </c>
      <c r="L5" s="3" t="str">
        <f>Inputs!$E$19</f>
        <v>US$</v>
      </c>
      <c r="M5" s="3" t="str">
        <f>Inputs!$E$19</f>
        <v>US$</v>
      </c>
      <c r="N5" s="3" t="str">
        <f>Inputs!$E$19</f>
        <v>US$</v>
      </c>
      <c r="O5" s="3" t="str">
        <f>Inputs!$E$19</f>
        <v>US$</v>
      </c>
      <c r="P5" s="3" t="str">
        <f>Inputs!$E$19</f>
        <v>US$</v>
      </c>
      <c r="Q5" s="3" t="str">
        <f>Inputs!$E$19</f>
        <v>US$</v>
      </c>
      <c r="R5" s="3" t="str">
        <f>Inputs!$E$19</f>
        <v>US$</v>
      </c>
      <c r="S5" s="3" t="str">
        <f>Inputs!$E$19</f>
        <v>US$</v>
      </c>
      <c r="T5" s="3" t="str">
        <f>Inputs!$E$19</f>
        <v>US$</v>
      </c>
      <c r="U5" s="3" t="str">
        <f>Inputs!$E$19</f>
        <v>US$</v>
      </c>
      <c r="V5" s="3" t="str">
        <f>Inputs!$E$19</f>
        <v>US$</v>
      </c>
      <c r="W5" s="3" t="str">
        <f>Inputs!$E$19</f>
        <v>US$</v>
      </c>
      <c r="X5" s="3" t="str">
        <f>Inputs!$E$19</f>
        <v>US$</v>
      </c>
      <c r="Y5" s="3" t="str">
        <f>Inputs!$E$19</f>
        <v>US$</v>
      </c>
      <c r="Z5" s="16"/>
      <c r="AA5" s="16"/>
      <c r="AB5" s="16"/>
    </row>
    <row r="6" spans="1:28" x14ac:dyDescent="0.3">
      <c r="A6" s="3"/>
      <c r="B6" s="3" t="str">
        <f>(Inputs!$E$19 &amp; " / " &amp;Inputs!$E$18)</f>
        <v>US$ / CAD</v>
      </c>
      <c r="C6" s="3" t="str">
        <f>(Inputs!$E$19 &amp; " / " &amp;Inputs!$E$18)</f>
        <v>US$ / CAD</v>
      </c>
      <c r="D6" s="3" t="str">
        <f>(Inputs!$E$19 &amp; " / " &amp;Inputs!$E$18)</f>
        <v>US$ / CAD</v>
      </c>
      <c r="E6" s="3" t="str">
        <f>(Inputs!$E$19 &amp; " / " &amp;Inputs!$E$18)</f>
        <v>US$ / CAD</v>
      </c>
      <c r="F6" s="3" t="str">
        <f>(Inputs!$E$19 &amp; " / " &amp;Inputs!$E$18)</f>
        <v>US$ / CAD</v>
      </c>
      <c r="G6" s="3" t="str">
        <f>(Inputs!$E$19 &amp; " / " &amp;Inputs!$E$18)</f>
        <v>US$ / CAD</v>
      </c>
      <c r="H6" s="3" t="str">
        <f>(Inputs!$E$19 &amp; " / " &amp;Inputs!$E$18)</f>
        <v>US$ / CAD</v>
      </c>
      <c r="I6" s="3" t="str">
        <f>(Inputs!$E$19 &amp; " / " &amp;Inputs!$E$18)</f>
        <v>US$ / CAD</v>
      </c>
      <c r="J6" s="3" t="str">
        <f>(Inputs!$E$19 &amp; " / " &amp;Inputs!$E$18)</f>
        <v>US$ / CAD</v>
      </c>
      <c r="K6" s="3" t="str">
        <f>(Inputs!$E$19 &amp; " / " &amp;Inputs!$E$18)</f>
        <v>US$ / CAD</v>
      </c>
      <c r="L6" s="3" t="str">
        <f>(Inputs!$E$19 &amp; " / " &amp;Inputs!$E$18)</f>
        <v>US$ / CAD</v>
      </c>
      <c r="M6" s="3" t="str">
        <f>(Inputs!$E$19 &amp; " / " &amp;Inputs!$E$18)</f>
        <v>US$ / CAD</v>
      </c>
      <c r="N6" s="3" t="str">
        <f>(Inputs!$E$19 &amp; " / " &amp;Inputs!$E$18)</f>
        <v>US$ / CAD</v>
      </c>
      <c r="O6" s="3" t="str">
        <f>(Inputs!$E$19 &amp; " / " &amp;Inputs!$E$18)</f>
        <v>US$ / CAD</v>
      </c>
      <c r="P6" s="3" t="str">
        <f>(Inputs!$E$19 &amp; " / " &amp;Inputs!$E$18)</f>
        <v>US$ / CAD</v>
      </c>
      <c r="Q6" s="3" t="str">
        <f>(Inputs!$E$19 &amp; " / " &amp;Inputs!$E$18)</f>
        <v>US$ / CAD</v>
      </c>
      <c r="R6" s="3" t="str">
        <f>(Inputs!$E$19 &amp; " / " &amp;Inputs!$E$18)</f>
        <v>US$ / CAD</v>
      </c>
      <c r="S6" s="3" t="str">
        <f>(Inputs!$E$19 &amp; " / " &amp;Inputs!$E$18)</f>
        <v>US$ / CAD</v>
      </c>
      <c r="T6" s="3" t="str">
        <f>(Inputs!$E$19 &amp; " / " &amp;Inputs!$E$18)</f>
        <v>US$ / CAD</v>
      </c>
      <c r="U6" s="3" t="str">
        <f>(Inputs!$E$19 &amp; " / " &amp;Inputs!$E$18)</f>
        <v>US$ / CAD</v>
      </c>
      <c r="V6" s="3" t="str">
        <f>(Inputs!$E$19 &amp; " / " &amp;Inputs!$E$18)</f>
        <v>US$ / CAD</v>
      </c>
      <c r="W6" s="3" t="str">
        <f>(Inputs!$E$19 &amp; " / " &amp;Inputs!$E$18)</f>
        <v>US$ / CAD</v>
      </c>
      <c r="X6" s="3" t="str">
        <f>(Inputs!$E$19 &amp; " / " &amp;Inputs!$E$18)</f>
        <v>US$ / CAD</v>
      </c>
      <c r="Y6" s="3" t="str">
        <f>(Inputs!$E$19 &amp; " / " &amp;Inputs!$E$18)</f>
        <v>US$ / CAD</v>
      </c>
      <c r="Z6" s="16"/>
      <c r="AA6" s="16"/>
      <c r="AB6" s="16"/>
    </row>
    <row r="7" spans="1:28" x14ac:dyDescent="0.3">
      <c r="A7" s="3"/>
      <c r="B7" s="83">
        <f>Inputs!E28</f>
        <v>1.2383299999999999</v>
      </c>
      <c r="C7" s="83">
        <f>Inputs!F28</f>
        <v>1.22967</v>
      </c>
      <c r="D7" s="83">
        <f>Inputs!G28</f>
        <v>1.30657</v>
      </c>
      <c r="E7" s="83">
        <f>Inputs!H28</f>
        <v>1.33456</v>
      </c>
      <c r="F7" s="83">
        <f>Inputs!I28</f>
        <v>1.3741099999999999</v>
      </c>
      <c r="G7" s="83">
        <f>Inputs!J28</f>
        <v>1.2889299999999999</v>
      </c>
      <c r="H7" s="83">
        <f>Inputs!K28</f>
        <v>1.3035699999999999</v>
      </c>
      <c r="I7" s="83">
        <f>Inputs!L28</f>
        <v>1.3345</v>
      </c>
      <c r="J7" s="83">
        <f>Inputs!M28</f>
        <v>1.32372</v>
      </c>
      <c r="K7" s="83">
        <f>Inputs!N28</f>
        <v>1.347</v>
      </c>
      <c r="L7" s="83">
        <f>Inputs!O28</f>
        <v>1.2538199999999999</v>
      </c>
      <c r="M7" s="83">
        <f>Inputs!P28</f>
        <v>1.2704446153846154</v>
      </c>
      <c r="N7" s="83">
        <f>Inputs!Q28</f>
        <v>1.2640890625000001</v>
      </c>
      <c r="O7" s="83">
        <f>Inputs!R28</f>
        <v>1.290776153846154</v>
      </c>
      <c r="P7" s="83">
        <f>Inputs!S28</f>
        <v>1.307092153846154</v>
      </c>
      <c r="Q7" s="83">
        <f>Inputs!T28</f>
        <v>1.3207999999999998</v>
      </c>
      <c r="R7" s="83">
        <f>Inputs!U28</f>
        <v>1.3297359375000002</v>
      </c>
      <c r="S7" s="83">
        <f>Inputs!V28</f>
        <v>1.3377353846153852</v>
      </c>
      <c r="T7" s="83">
        <f>Inputs!W28</f>
        <v>1.3203575757575758</v>
      </c>
      <c r="U7" s="83">
        <f>Inputs!X28</f>
        <v>1.3200092999999999</v>
      </c>
      <c r="V7" s="83">
        <f>Inputs!Y28</f>
        <v>1.3416946666666665</v>
      </c>
      <c r="W7" s="83">
        <f>Inputs!Z28</f>
        <v>1.3868020000000001</v>
      </c>
      <c r="X7" s="83">
        <f>Inputs!AA28</f>
        <v>1.3448500000000001</v>
      </c>
      <c r="Y7" s="83">
        <f>Inputs!AB28</f>
        <v>1.3321000000000001</v>
      </c>
      <c r="Z7" s="16"/>
      <c r="AA7" s="16"/>
      <c r="AB7" s="16"/>
    </row>
    <row r="8" spans="1:28" x14ac:dyDescent="0.3">
      <c r="A8" s="8" t="s">
        <v>267</v>
      </c>
      <c r="B8" s="10"/>
      <c r="C8" s="10"/>
      <c r="D8" s="10"/>
      <c r="E8" s="10"/>
      <c r="F8" s="10"/>
      <c r="G8" s="10"/>
      <c r="H8" s="18"/>
      <c r="I8" s="18"/>
      <c r="J8" s="18"/>
      <c r="K8" s="18"/>
      <c r="L8" s="18"/>
      <c r="M8" s="18"/>
      <c r="N8" s="18"/>
      <c r="O8" s="18"/>
      <c r="P8" s="18"/>
      <c r="Q8" s="18"/>
      <c r="R8" s="18"/>
      <c r="S8" s="18"/>
      <c r="T8" s="18"/>
      <c r="U8" s="18"/>
      <c r="V8" s="18"/>
      <c r="W8" s="18"/>
      <c r="X8" s="18"/>
      <c r="Y8" s="18"/>
    </row>
    <row r="9" spans="1:28" x14ac:dyDescent="0.3">
      <c r="A9" s="85" t="s">
        <v>615</v>
      </c>
      <c r="B9" s="21">
        <f>'Interim Inc Statement US$'!B8</f>
        <v>2249.8041717474343</v>
      </c>
      <c r="C9" s="21">
        <f>'Interim Inc Statement US$'!C8</f>
        <v>2506.363495897273</v>
      </c>
      <c r="D9" s="21">
        <f>'Interim Inc Statement US$'!D8</f>
        <v>2844.0879554865028</v>
      </c>
      <c r="E9" s="21">
        <f>'Interim Inc Statement US$'!E8</f>
        <v>2125.0449586380532</v>
      </c>
      <c r="F9" s="21">
        <f>'Interim Inc Statement US$'!F8</f>
        <v>2084.2581743819637</v>
      </c>
      <c r="G9" s="21">
        <f>'Interim Inc Statement US$'!G8</f>
        <v>2438.456704398222</v>
      </c>
      <c r="H9" s="21">
        <f>'Interim Inc Statement US$'!H8</f>
        <v>3149.811671026489</v>
      </c>
      <c r="I9" s="21">
        <f>'Interim Inc Statement US$'!I8</f>
        <v>2274.2600224803296</v>
      </c>
      <c r="J9" s="21">
        <f>'Interim Inc Statement US$'!J8</f>
        <v>2338.1077569274471</v>
      </c>
      <c r="K9" s="21">
        <f>'Interim Inc Statement US$'!K8</f>
        <v>2610.9873793615443</v>
      </c>
      <c r="L9" s="21">
        <f>'Interim Inc Statement US$'!L8</f>
        <v>3571.4855401891818</v>
      </c>
      <c r="M9" s="21">
        <f>'Interim Inc Statement US$'!M8</f>
        <v>2661.2730370591034</v>
      </c>
      <c r="N9" s="21">
        <f>'Interim Inc Statement US$'!N8</f>
        <v>2760.0903318471674</v>
      </c>
      <c r="O9" s="21">
        <f>'Interim Inc Statement US$'!O8</f>
        <v>3037.7071875061456</v>
      </c>
      <c r="P9" s="21">
        <f>'Interim Inc Statement US$'!P8</f>
        <v>3839.0560185327404</v>
      </c>
      <c r="Q9" s="21">
        <f>'Interim Inc Statement US$'!Q8</f>
        <v>2873.2586311326472</v>
      </c>
      <c r="R9" s="21">
        <f>'Interim Inc Statement US$'!R8</f>
        <v>2869.7427003246648</v>
      </c>
      <c r="S9" s="21">
        <f>'Interim Inc Statement US$'!S8</f>
        <v>3242.7937915742777</v>
      </c>
      <c r="T9" s="21">
        <f>'Interim Inc Statement US$'!T8</f>
        <v>3911.0617417687586</v>
      </c>
      <c r="U9" s="21">
        <f>'Interim Inc Statement US$'!U8</f>
        <v>2965.1306244584794</v>
      </c>
      <c r="V9" s="21">
        <f>'Interim Inc Statement US$'!V8</f>
        <v>2379.8261104612975</v>
      </c>
      <c r="W9" s="21">
        <f>'Interim Inc Statement US$'!W8</f>
        <v>149.26427853435456</v>
      </c>
      <c r="X9" s="21">
        <f>'Interim Inc Statement US$'!X8</f>
        <v>376.99371677138714</v>
      </c>
      <c r="Y9" s="21">
        <f>'Interim Inc Statement US$'!Y8</f>
        <v>356.57983634862245</v>
      </c>
    </row>
    <row r="10" spans="1:28" x14ac:dyDescent="0.3">
      <c r="A10" s="85" t="s">
        <v>0</v>
      </c>
      <c r="B10" s="2"/>
      <c r="C10" s="2"/>
      <c r="D10" s="2"/>
      <c r="E10" s="2"/>
      <c r="F10" s="2"/>
      <c r="G10" s="2"/>
      <c r="H10" s="2"/>
      <c r="I10" s="2"/>
      <c r="J10" s="2"/>
      <c r="K10" s="2"/>
      <c r="L10" s="2"/>
      <c r="M10" s="2"/>
      <c r="N10" s="2"/>
      <c r="O10" s="2"/>
      <c r="P10" s="2"/>
      <c r="Q10" s="2"/>
      <c r="R10" s="2"/>
      <c r="S10" s="2"/>
      <c r="T10" s="2"/>
      <c r="U10" s="2"/>
      <c r="V10" s="2"/>
      <c r="W10" s="2"/>
      <c r="X10" s="2"/>
      <c r="Y10" s="2"/>
    </row>
    <row r="11" spans="1:28" x14ac:dyDescent="0.3">
      <c r="A11" s="85" t="s">
        <v>614</v>
      </c>
      <c r="B11" s="21">
        <f>'Interim Inc Statement US$'!B9</f>
        <v>0</v>
      </c>
      <c r="C11" s="21">
        <f>'Interim Inc Statement US$'!C9</f>
        <v>0</v>
      </c>
      <c r="D11" s="21">
        <f>'Interim Inc Statement US$'!D9</f>
        <v>0</v>
      </c>
      <c r="E11" s="21">
        <f>'Interim Inc Statement US$'!E9</f>
        <v>0</v>
      </c>
      <c r="F11" s="21">
        <f>'Interim Inc Statement US$'!F9</f>
        <v>0</v>
      </c>
      <c r="G11" s="21">
        <f>'Interim Inc Statement US$'!G9</f>
        <v>0</v>
      </c>
      <c r="H11" s="21">
        <f>'Interim Inc Statement US$'!H9</f>
        <v>0</v>
      </c>
      <c r="I11" s="21">
        <f>'Interim Inc Statement US$'!I9</f>
        <v>0</v>
      </c>
      <c r="J11" s="21">
        <f>'Interim Inc Statement US$'!J9</f>
        <v>0</v>
      </c>
      <c r="K11" s="21">
        <f>'Interim Inc Statement US$'!K9</f>
        <v>0</v>
      </c>
      <c r="L11" s="21">
        <f>'Interim Inc Statement US$'!L9</f>
        <v>0</v>
      </c>
      <c r="M11" s="21">
        <f>'Interim Inc Statement US$'!M9</f>
        <v>0</v>
      </c>
      <c r="N11" s="21">
        <f>'Interim Inc Statement US$'!N9</f>
        <v>0</v>
      </c>
      <c r="O11" s="21">
        <f>'Interim Inc Statement US$'!O9</f>
        <v>0</v>
      </c>
      <c r="P11" s="21">
        <f>'Interim Inc Statement US$'!P9</f>
        <v>0</v>
      </c>
      <c r="Q11" s="21">
        <f>'Interim Inc Statement US$'!Q9</f>
        <v>0</v>
      </c>
      <c r="R11" s="21">
        <f>'Interim Inc Statement US$'!R9</f>
        <v>0</v>
      </c>
      <c r="S11" s="21">
        <f>'Interim Inc Statement US$'!S9</f>
        <v>0</v>
      </c>
      <c r="T11" s="21">
        <f>'Interim Inc Statement US$'!T9</f>
        <v>0</v>
      </c>
      <c r="U11" s="21">
        <f>'Interim Inc Statement US$'!U9</f>
        <v>0</v>
      </c>
      <c r="V11" s="21">
        <f>'Interim Inc Statement US$'!V9</f>
        <v>0</v>
      </c>
      <c r="W11" s="21">
        <f>'Interim Inc Statement US$'!W9</f>
        <v>0</v>
      </c>
      <c r="X11" s="21">
        <f>'Interim Inc Statement US$'!X9</f>
        <v>0</v>
      </c>
      <c r="Y11" s="21">
        <f>'Interim Inc Statement US$'!Y9</f>
        <v>0</v>
      </c>
    </row>
    <row r="12" spans="1:28" x14ac:dyDescent="0.3">
      <c r="A12" s="85" t="s">
        <v>0</v>
      </c>
      <c r="B12" s="2"/>
      <c r="C12" s="2"/>
      <c r="D12" s="2"/>
      <c r="E12" s="2"/>
      <c r="F12" s="2"/>
      <c r="G12" s="2"/>
      <c r="H12" s="2"/>
      <c r="I12" s="2"/>
      <c r="J12" s="2"/>
      <c r="K12" s="2"/>
      <c r="L12" s="2"/>
      <c r="M12" s="2"/>
      <c r="N12" s="2"/>
      <c r="O12" s="2"/>
      <c r="P12" s="2"/>
      <c r="Q12" s="2"/>
      <c r="R12" s="2"/>
      <c r="S12" s="2"/>
      <c r="T12" s="2"/>
      <c r="U12" s="2"/>
      <c r="V12" s="2"/>
      <c r="W12" s="2"/>
      <c r="X12" s="2"/>
      <c r="Y12" s="2"/>
    </row>
    <row r="13" spans="1:28" x14ac:dyDescent="0.3">
      <c r="A13" s="85" t="s">
        <v>12</v>
      </c>
      <c r="B13" s="21">
        <f>'Interim Inc Statement US$'!B10</f>
        <v>104.17255497323008</v>
      </c>
      <c r="C13" s="21">
        <f>'Interim Inc Statement US$'!C10</f>
        <v>100.02683646832077</v>
      </c>
      <c r="D13" s="21">
        <f>'Interim Inc Statement US$'!D10</f>
        <v>91.078166497011253</v>
      </c>
      <c r="E13" s="21">
        <f>'Interim Inc Statement US$'!E10</f>
        <v>101.15693561923031</v>
      </c>
      <c r="F13" s="21">
        <f>'Interim Inc Statement US$'!F10</f>
        <v>84.418278012677305</v>
      </c>
      <c r="G13" s="21">
        <f>'Interim Inc Statement US$'!G10</f>
        <v>86.117942789755844</v>
      </c>
      <c r="H13" s="21">
        <f>'Interim Inc Statement US$'!H10</f>
        <v>99.726136686177199</v>
      </c>
      <c r="I13" s="21">
        <f>'Interim Inc Statement US$'!I10</f>
        <v>116.14837017609591</v>
      </c>
      <c r="J13" s="21">
        <f>'Interim Inc Statement US$'!J10</f>
        <v>101.22986734354697</v>
      </c>
      <c r="K13" s="21">
        <f>'Interim Inc Statement US$'!K10</f>
        <v>114.32813659985152</v>
      </c>
      <c r="L13" s="21">
        <f>'Interim Inc Statement US$'!L10</f>
        <v>142.76371408974177</v>
      </c>
      <c r="M13" s="21">
        <f>'Interim Inc Statement US$'!M10</f>
        <v>144.04405968110498</v>
      </c>
      <c r="N13" s="21">
        <f>'Interim Inc Statement US$'!N10</f>
        <v>132.90202801671657</v>
      </c>
      <c r="O13" s="21">
        <f>'Interim Inc Statement US$'!O10</f>
        <v>154.94553366519486</v>
      </c>
      <c r="P13" s="21">
        <f>'Interim Inc Statement US$'!P10</f>
        <v>166.78242567559533</v>
      </c>
      <c r="Q13" s="21">
        <f>'Interim Inc Statement US$'!Q10</f>
        <v>164.2943670502726</v>
      </c>
      <c r="R13" s="21">
        <f>'Interim Inc Statement US$'!R10</f>
        <v>133.10913468487044</v>
      </c>
      <c r="S13" s="21">
        <f>'Interim Inc Statement US$'!S10</f>
        <v>132.31316300337647</v>
      </c>
      <c r="T13" s="21">
        <f>'Interim Inc Statement US$'!T10</f>
        <v>134.05459494443653</v>
      </c>
      <c r="U13" s="21">
        <f>'Interim Inc Statement US$'!U10</f>
        <v>140.90809814749034</v>
      </c>
      <c r="V13" s="21">
        <f>'Interim Inc Statement US$'!V10</f>
        <v>111.05358298112537</v>
      </c>
      <c r="W13" s="21">
        <f>'Interim Inc Statement US$'!W10</f>
        <v>193.97145374754288</v>
      </c>
      <c r="X13" s="21">
        <f>'Interim Inc Statement US$'!X10</f>
        <v>160.61270773692232</v>
      </c>
      <c r="Y13" s="21">
        <f>'Interim Inc Statement US$'!Y10</f>
        <v>214.69859620148637</v>
      </c>
    </row>
    <row r="14" spans="1:28" x14ac:dyDescent="0.3">
      <c r="A14" s="85" t="s">
        <v>0</v>
      </c>
      <c r="B14" s="2"/>
      <c r="C14" s="2"/>
      <c r="D14" s="2"/>
      <c r="E14" s="2"/>
      <c r="F14" s="2"/>
      <c r="G14" s="2"/>
      <c r="H14" s="2"/>
      <c r="I14" s="2"/>
      <c r="J14" s="2"/>
      <c r="K14" s="2"/>
      <c r="L14" s="2"/>
      <c r="M14" s="2"/>
      <c r="N14" s="2"/>
      <c r="O14" s="2"/>
      <c r="P14" s="2"/>
      <c r="Q14" s="2"/>
      <c r="R14" s="2"/>
      <c r="S14" s="2"/>
      <c r="T14" s="2"/>
      <c r="U14" s="2"/>
      <c r="V14" s="2"/>
      <c r="W14" s="2"/>
      <c r="X14" s="2"/>
      <c r="Y14" s="2"/>
    </row>
    <row r="15" spans="1:28" x14ac:dyDescent="0.3">
      <c r="A15" s="85" t="s">
        <v>13</v>
      </c>
      <c r="B15" s="21">
        <f>'Interim Inc Statement US$'!B11</f>
        <v>269.71808807022364</v>
      </c>
      <c r="C15" s="21">
        <f>'Interim Inc Statement US$'!C11</f>
        <v>169.96429936487024</v>
      </c>
      <c r="D15" s="21">
        <f>'Interim Inc Statement US$'!D11</f>
        <v>143.88819581040434</v>
      </c>
      <c r="E15" s="21">
        <f>'Interim Inc Statement US$'!E11</f>
        <v>158.10454381968589</v>
      </c>
      <c r="F15" s="21">
        <f>'Interim Inc Statement US$'!F11</f>
        <v>264.17099067760222</v>
      </c>
      <c r="G15" s="21">
        <f>'Interim Inc Statement US$'!G11</f>
        <v>158.27081377576752</v>
      </c>
      <c r="H15" s="21">
        <f>'Interim Inc Statement US$'!H11</f>
        <v>164.93168759636998</v>
      </c>
      <c r="I15" s="21">
        <f>'Interim Inc Statement US$'!I11</f>
        <v>176.09591607343575</v>
      </c>
      <c r="J15" s="21">
        <f>'Interim Inc Statement US$'!J11</f>
        <v>311.99951651406644</v>
      </c>
      <c r="K15" s="21">
        <f>'Interim Inc Statement US$'!K11</f>
        <v>177.43132887899034</v>
      </c>
      <c r="L15" s="21">
        <f>'Interim Inc Statement US$'!L11</f>
        <v>177.85647062576766</v>
      </c>
      <c r="M15" s="21">
        <f>'Interim Inc Statement US$'!M11</f>
        <v>201.50425835170969</v>
      </c>
      <c r="N15" s="21">
        <f>'Interim Inc Statement US$'!N11</f>
        <v>327.50856904119439</v>
      </c>
      <c r="O15" s="21">
        <f>'Interim Inc Statement US$'!O11</f>
        <v>164.24226568510656</v>
      </c>
      <c r="P15" s="21">
        <f>'Interim Inc Statement US$'!P11</f>
        <v>136.94520273363102</v>
      </c>
      <c r="Q15" s="21">
        <f>'Interim Inc Statement US$'!Q11</f>
        <v>177.16535433070868</v>
      </c>
      <c r="R15" s="21">
        <f>'Interim Inc Statement US$'!R11</f>
        <v>345.93334437875939</v>
      </c>
      <c r="S15" s="21">
        <f>'Interim Inc Statement US$'!S11</f>
        <v>180.90274263738479</v>
      </c>
      <c r="T15" s="21">
        <f>'Interim Inc Statement US$'!T11</f>
        <v>160.56256569616127</v>
      </c>
      <c r="U15" s="21">
        <f>'Interim Inc Statement US$'!U11</f>
        <v>203.02887259960971</v>
      </c>
      <c r="V15" s="21">
        <f>'Interim Inc Statement US$'!V11</f>
        <v>283.22390290488352</v>
      </c>
      <c r="W15" s="21">
        <f>'Interim Inc Statement US$'!W11</f>
        <v>36.775257030203299</v>
      </c>
      <c r="X15" s="21">
        <f>'Interim Inc Statement US$'!X11</f>
        <v>25.281629921552586</v>
      </c>
      <c r="Y15" s="21">
        <f>'Interim Inc Statement US$'!Y11</f>
        <v>49.545829892650701</v>
      </c>
    </row>
    <row r="16" spans="1:28" x14ac:dyDescent="0.3">
      <c r="A16" s="85" t="s">
        <v>0</v>
      </c>
      <c r="B16" s="2"/>
      <c r="C16" s="2"/>
      <c r="D16" s="2"/>
      <c r="E16" s="2"/>
      <c r="F16" s="2"/>
      <c r="G16" s="2"/>
      <c r="H16" s="2"/>
      <c r="I16" s="2"/>
      <c r="J16" s="2"/>
      <c r="K16" s="2"/>
      <c r="L16" s="2"/>
      <c r="M16" s="2"/>
      <c r="N16" s="2"/>
      <c r="O16" s="2"/>
      <c r="P16" s="2"/>
      <c r="Q16" s="2"/>
      <c r="R16" s="2"/>
      <c r="S16" s="2"/>
      <c r="T16" s="2"/>
      <c r="U16" s="2"/>
      <c r="V16" s="2"/>
      <c r="W16" s="2"/>
      <c r="X16" s="2"/>
      <c r="Y16" s="2"/>
    </row>
    <row r="17" spans="1:25" x14ac:dyDescent="0.3">
      <c r="A17" s="85" t="s">
        <v>5</v>
      </c>
      <c r="B17" s="21">
        <f>B13+B15</f>
        <v>373.89064304345374</v>
      </c>
      <c r="C17" s="21">
        <f t="shared" ref="C17:Q17" si="0">C13+C15</f>
        <v>269.99113583319104</v>
      </c>
      <c r="D17" s="21">
        <f t="shared" si="0"/>
        <v>234.96636230741558</v>
      </c>
      <c r="E17" s="21">
        <f t="shared" si="0"/>
        <v>259.26147943891618</v>
      </c>
      <c r="F17" s="21">
        <f t="shared" si="0"/>
        <v>348.58926869027954</v>
      </c>
      <c r="G17" s="21">
        <f t="shared" si="0"/>
        <v>244.38875656552335</v>
      </c>
      <c r="H17" s="21">
        <f t="shared" si="0"/>
        <v>264.65782428254715</v>
      </c>
      <c r="I17" s="21">
        <f t="shared" si="0"/>
        <v>292.24428624953168</v>
      </c>
      <c r="J17" s="21">
        <f t="shared" si="0"/>
        <v>413.22938385761341</v>
      </c>
      <c r="K17" s="21">
        <f t="shared" si="0"/>
        <v>291.75946547884189</v>
      </c>
      <c r="L17" s="21">
        <f t="shared" si="0"/>
        <v>320.62018471550942</v>
      </c>
      <c r="M17" s="21">
        <f t="shared" si="0"/>
        <v>345.54831803281468</v>
      </c>
      <c r="N17" s="21">
        <f t="shared" si="0"/>
        <v>460.41059705791099</v>
      </c>
      <c r="O17" s="21">
        <f t="shared" si="0"/>
        <v>319.18779935030142</v>
      </c>
      <c r="P17" s="21">
        <f t="shared" si="0"/>
        <v>303.72762840922633</v>
      </c>
      <c r="Q17" s="21">
        <f t="shared" si="0"/>
        <v>341.45972138098125</v>
      </c>
      <c r="R17" s="21">
        <f t="shared" ref="R17:U17" si="1">R13+R15</f>
        <v>479.0424790636298</v>
      </c>
      <c r="S17" s="21">
        <f t="shared" si="1"/>
        <v>313.21590564076126</v>
      </c>
      <c r="T17" s="21">
        <f t="shared" si="1"/>
        <v>294.61716064059783</v>
      </c>
      <c r="U17" s="21">
        <f t="shared" si="1"/>
        <v>343.93697074710008</v>
      </c>
      <c r="V17" s="21">
        <f t="shared" ref="V17:Y17" si="2">V13+V15</f>
        <v>394.27748588600889</v>
      </c>
      <c r="W17" s="21">
        <f t="shared" si="2"/>
        <v>230.74671077774619</v>
      </c>
      <c r="X17" s="21">
        <f t="shared" si="2"/>
        <v>185.89433765847491</v>
      </c>
      <c r="Y17" s="21">
        <f t="shared" si="2"/>
        <v>264.24442609413705</v>
      </c>
    </row>
    <row r="18" spans="1:25" x14ac:dyDescent="0.3">
      <c r="A18" s="85" t="s">
        <v>0</v>
      </c>
      <c r="B18" s="2"/>
      <c r="C18" s="2"/>
      <c r="D18" s="2"/>
      <c r="E18" s="2"/>
      <c r="F18" s="2"/>
      <c r="G18" s="2"/>
      <c r="H18" s="2"/>
      <c r="I18" s="2"/>
      <c r="J18" s="2"/>
      <c r="K18" s="2"/>
      <c r="L18" s="2"/>
      <c r="M18" s="2"/>
      <c r="N18" s="2"/>
      <c r="O18" s="2"/>
      <c r="P18" s="2"/>
      <c r="Q18" s="2"/>
      <c r="R18" s="2"/>
      <c r="S18" s="2"/>
      <c r="T18" s="2"/>
      <c r="U18" s="2"/>
      <c r="V18" s="2"/>
      <c r="W18" s="2"/>
      <c r="X18" s="2"/>
      <c r="Y18" s="2"/>
    </row>
    <row r="19" spans="1:25" x14ac:dyDescent="0.3">
      <c r="A19" s="14" t="s">
        <v>14</v>
      </c>
      <c r="B19" s="6">
        <f>'Interim Inc Statement US$'!B13</f>
        <v>2623.6948147908879</v>
      </c>
      <c r="C19" s="6">
        <f>'Interim Inc Statement US$'!C13</f>
        <v>2776.354631730464</v>
      </c>
      <c r="D19" s="6">
        <f>'Interim Inc Statement US$'!D13</f>
        <v>3079.0543177939185</v>
      </c>
      <c r="E19" s="6">
        <f>'Interim Inc Statement US$'!E13</f>
        <v>2384.3064380769692</v>
      </c>
      <c r="F19" s="6">
        <f>'Interim Inc Statement US$'!F13</f>
        <v>2432.8474430722431</v>
      </c>
      <c r="G19" s="6">
        <f>'Interim Inc Statement US$'!G13</f>
        <v>2682.8454609637456</v>
      </c>
      <c r="H19" s="6">
        <f>'Interim Inc Statement US$'!H13</f>
        <v>3414.4694953090361</v>
      </c>
      <c r="I19" s="6">
        <f>'Interim Inc Statement US$'!I13</f>
        <v>2566.5043087298609</v>
      </c>
      <c r="J19" s="6">
        <f>'Interim Inc Statement US$'!J13</f>
        <v>2751.3371407850605</v>
      </c>
      <c r="K19" s="6">
        <f>'Interim Inc Statement US$'!K13</f>
        <v>2902.7468448403861</v>
      </c>
      <c r="L19" s="6">
        <f>'Interim Inc Statement US$'!L13</f>
        <v>3892.1057249046912</v>
      </c>
      <c r="M19" s="6">
        <f>'Interim Inc Statement US$'!M13</f>
        <v>3006.8213550919181</v>
      </c>
      <c r="N19" s="6">
        <f>'Interim Inc Statement US$'!N13</f>
        <v>3220.5009289050781</v>
      </c>
      <c r="O19" s="6">
        <f>'Interim Inc Statement US$'!O13</f>
        <v>3356.8949868564473</v>
      </c>
      <c r="P19" s="6">
        <f>'Interim Inc Statement US$'!P13</f>
        <v>4142.7836469419663</v>
      </c>
      <c r="Q19" s="6">
        <f>'Interim Inc Statement US$'!Q13</f>
        <v>3214.7183525136288</v>
      </c>
      <c r="R19" s="6">
        <f>'Interim Inc Statement US$'!R13</f>
        <v>3348.7851793882946</v>
      </c>
      <c r="S19" s="6">
        <f>'Interim Inc Statement US$'!S13</f>
        <v>3556.0096972150386</v>
      </c>
      <c r="T19" s="6">
        <f>'Interim Inc Statement US$'!T13</f>
        <v>4205.6789024093559</v>
      </c>
      <c r="U19" s="6">
        <f>'Interim Inc Statement US$'!U13</f>
        <v>3309.0675952055794</v>
      </c>
      <c r="V19" s="6">
        <f>'Interim Inc Statement US$'!V13</f>
        <v>2774.1035963473059</v>
      </c>
      <c r="W19" s="6">
        <f>'Interim Inc Statement US$'!W13</f>
        <v>380.01098931210072</v>
      </c>
      <c r="X19" s="6">
        <f>'Interim Inc Statement US$'!X13</f>
        <v>562.88805442986211</v>
      </c>
      <c r="Y19" s="6">
        <f>'Interim Inc Statement US$'!Y13</f>
        <v>620.8242624427595</v>
      </c>
    </row>
    <row r="20" spans="1:25" x14ac:dyDescent="0.3">
      <c r="A20" s="85" t="s">
        <v>0</v>
      </c>
      <c r="B20" s="2"/>
      <c r="C20" s="2"/>
      <c r="D20" s="2"/>
      <c r="E20" s="2"/>
      <c r="F20" s="2"/>
      <c r="G20" s="2"/>
      <c r="H20" s="2"/>
      <c r="I20" s="2"/>
      <c r="J20" s="2"/>
      <c r="K20" s="2"/>
      <c r="L20" s="2"/>
      <c r="M20" s="2"/>
      <c r="N20" s="2"/>
      <c r="O20" s="2"/>
      <c r="P20" s="2"/>
      <c r="Q20" s="2"/>
      <c r="R20" s="2"/>
      <c r="S20" s="2"/>
      <c r="T20" s="2"/>
      <c r="U20" s="2"/>
      <c r="V20" s="2"/>
      <c r="W20" s="2"/>
      <c r="X20" s="2"/>
      <c r="Y20" s="2"/>
    </row>
    <row r="21" spans="1:25" x14ac:dyDescent="0.3">
      <c r="A21" s="8" t="s">
        <v>259</v>
      </c>
      <c r="B21" s="10"/>
      <c r="C21" s="10"/>
      <c r="D21" s="10"/>
      <c r="E21" s="10"/>
      <c r="F21" s="10"/>
      <c r="G21" s="10"/>
      <c r="H21" s="10"/>
      <c r="I21" s="10"/>
      <c r="J21" s="10"/>
      <c r="K21" s="10"/>
      <c r="L21" s="10"/>
      <c r="M21" s="10"/>
      <c r="N21" s="10"/>
      <c r="O21" s="10"/>
      <c r="P21" s="10"/>
      <c r="Q21" s="10"/>
      <c r="R21" s="10"/>
      <c r="S21" s="10"/>
      <c r="T21" s="10"/>
      <c r="U21" s="10"/>
      <c r="V21" s="10"/>
      <c r="W21" s="10"/>
      <c r="X21" s="10"/>
      <c r="Y21" s="10"/>
    </row>
    <row r="22" spans="1:25" x14ac:dyDescent="0.3">
      <c r="A22" s="85" t="s">
        <v>266</v>
      </c>
      <c r="B22" s="2">
        <f>IFERROR(B9/B$19, "N/A")</f>
        <v>0.85749461372730074</v>
      </c>
      <c r="C22" s="2">
        <f t="shared" ref="C22:Q22" si="3">IFERROR(C9/C$19, "N/A")</f>
        <v>0.90275336848271825</v>
      </c>
      <c r="D22" s="2">
        <f t="shared" si="3"/>
        <v>0.92368878946060151</v>
      </c>
      <c r="E22" s="2">
        <f t="shared" si="3"/>
        <v>0.8912633563796355</v>
      </c>
      <c r="F22" s="2">
        <f t="shared" si="3"/>
        <v>0.85671552497756509</v>
      </c>
      <c r="G22" s="2">
        <f t="shared" si="3"/>
        <v>0.90890688259109298</v>
      </c>
      <c r="H22" s="2">
        <f t="shared" si="3"/>
        <v>0.92248932824084473</v>
      </c>
      <c r="I22" s="2">
        <f t="shared" si="3"/>
        <v>0.88613138686131399</v>
      </c>
      <c r="J22" s="2">
        <f t="shared" si="3"/>
        <v>0.84980779791323446</v>
      </c>
      <c r="K22" s="2">
        <f t="shared" si="3"/>
        <v>0.89948849104859341</v>
      </c>
      <c r="L22" s="2">
        <f t="shared" si="3"/>
        <v>0.91762295081967216</v>
      </c>
      <c r="M22" s="2">
        <f t="shared" si="3"/>
        <v>0.88507853403141357</v>
      </c>
      <c r="N22" s="2">
        <f t="shared" si="3"/>
        <v>0.85703758290346355</v>
      </c>
      <c r="O22" s="2">
        <f t="shared" si="3"/>
        <v>0.90491576275098073</v>
      </c>
      <c r="P22" s="2">
        <f t="shared" si="3"/>
        <v>0.92668513388735008</v>
      </c>
      <c r="Q22" s="2">
        <f t="shared" si="3"/>
        <v>0.89378238341968907</v>
      </c>
      <c r="R22" s="2">
        <f t="shared" ref="R22:U22" si="4">IFERROR(R9/R$19, "N/A")</f>
        <v>0.85695037053671685</v>
      </c>
      <c r="S22" s="2">
        <f t="shared" si="4"/>
        <v>0.91191927685516094</v>
      </c>
      <c r="T22" s="2">
        <f t="shared" si="4"/>
        <v>0.92994777597694944</v>
      </c>
      <c r="U22" s="2">
        <f t="shared" si="4"/>
        <v>0.8960622710622711</v>
      </c>
      <c r="V22" s="2">
        <f t="shared" ref="V22:Y22" si="5">IFERROR(V9/V$19, "N/A")</f>
        <v>0.85787211176786693</v>
      </c>
      <c r="W22" s="2">
        <f t="shared" si="5"/>
        <v>0.39278937381404178</v>
      </c>
      <c r="X22" s="2">
        <f t="shared" si="5"/>
        <v>0.66974900924702774</v>
      </c>
      <c r="Y22" s="2">
        <f t="shared" si="5"/>
        <v>0.57436517533252718</v>
      </c>
    </row>
    <row r="23" spans="1:25" x14ac:dyDescent="0.3">
      <c r="A23" s="85" t="s">
        <v>265</v>
      </c>
      <c r="B23" s="2">
        <f>IFERROR(B13/B$19, "N/A")</f>
        <v>3.9704524469067401E-2</v>
      </c>
      <c r="C23" s="2">
        <f t="shared" ref="C23:Q23" si="6">IFERROR(C13/C$19, "N/A")</f>
        <v>3.6028119507908615E-2</v>
      </c>
      <c r="D23" s="2">
        <f t="shared" si="6"/>
        <v>2.9579915485955753E-2</v>
      </c>
      <c r="E23" s="2">
        <f t="shared" si="6"/>
        <v>4.2426147077309871E-2</v>
      </c>
      <c r="F23" s="2">
        <f t="shared" si="6"/>
        <v>3.4699371821717027E-2</v>
      </c>
      <c r="G23" s="2">
        <f t="shared" si="6"/>
        <v>3.2099479467900517E-2</v>
      </c>
      <c r="H23" s="2">
        <f t="shared" si="6"/>
        <v>2.9206919793304878E-2</v>
      </c>
      <c r="I23" s="2">
        <f t="shared" si="6"/>
        <v>4.5255474452554748E-2</v>
      </c>
      <c r="J23" s="2">
        <f t="shared" si="6"/>
        <v>3.6792970895112576E-2</v>
      </c>
      <c r="K23" s="2">
        <f t="shared" si="6"/>
        <v>3.938618925831202E-2</v>
      </c>
      <c r="L23" s="2">
        <f t="shared" si="6"/>
        <v>3.6680327868852461E-2</v>
      </c>
      <c r="M23" s="2">
        <f t="shared" si="6"/>
        <v>4.790575916230367E-2</v>
      </c>
      <c r="N23" s="2">
        <f t="shared" si="6"/>
        <v>4.1267501842299194E-2</v>
      </c>
      <c r="O23" s="2">
        <f t="shared" si="6"/>
        <v>4.6157396722824824E-2</v>
      </c>
      <c r="P23" s="2">
        <f t="shared" si="6"/>
        <v>4.0258541089566023E-2</v>
      </c>
      <c r="Q23" s="2">
        <f t="shared" si="6"/>
        <v>5.1106924163918981E-2</v>
      </c>
      <c r="R23" s="2">
        <f t="shared" ref="R23:U23" si="7">IFERROR(R13/R$19, "N/A")</f>
        <v>3.974848416797664E-2</v>
      </c>
      <c r="S23" s="2">
        <f t="shared" si="7"/>
        <v>3.7208324574311544E-2</v>
      </c>
      <c r="T23" s="2">
        <f t="shared" si="7"/>
        <v>3.1874662344678555E-2</v>
      </c>
      <c r="U23" s="2">
        <f t="shared" si="7"/>
        <v>4.2582417582417584E-2</v>
      </c>
      <c r="V23" s="2">
        <f t="shared" ref="V23:Y23" si="8">IFERROR(V13/V$19, "N/A")</f>
        <v>4.0032240730789904E-2</v>
      </c>
      <c r="W23" s="2">
        <f t="shared" si="8"/>
        <v>0.51043643263757121</v>
      </c>
      <c r="X23" s="2">
        <f t="shared" si="8"/>
        <v>0.28533685601056796</v>
      </c>
      <c r="Y23" s="2">
        <f t="shared" si="8"/>
        <v>0.34582829504232165</v>
      </c>
    </row>
    <row r="24" spans="1:25" x14ac:dyDescent="0.3">
      <c r="A24" s="85" t="s">
        <v>264</v>
      </c>
      <c r="B24" s="2">
        <f>IFERROR(B15/B$19, "N/A")</f>
        <v>0.10280086180363189</v>
      </c>
      <c r="C24" s="2">
        <f t="shared" ref="C24:Q24" si="9">IFERROR(C15/C$19, "N/A")</f>
        <v>6.1218512009373172E-2</v>
      </c>
      <c r="D24" s="2">
        <f t="shared" si="9"/>
        <v>4.6731295053442701E-2</v>
      </c>
      <c r="E24" s="2">
        <f t="shared" si="9"/>
        <v>6.6310496543054681E-2</v>
      </c>
      <c r="F24" s="2">
        <f t="shared" si="9"/>
        <v>0.10858510320071792</v>
      </c>
      <c r="G24" s="2">
        <f t="shared" si="9"/>
        <v>5.8993637941006358E-2</v>
      </c>
      <c r="H24" s="2">
        <f t="shared" si="9"/>
        <v>4.8303751965850371E-2</v>
      </c>
      <c r="I24" s="2">
        <f t="shared" si="9"/>
        <v>6.8613138686131406E-2</v>
      </c>
      <c r="J24" s="2">
        <f t="shared" si="9"/>
        <v>0.11339923119165293</v>
      </c>
      <c r="K24" s="2">
        <f t="shared" si="9"/>
        <v>6.1125319693094628E-2</v>
      </c>
      <c r="L24" s="2">
        <f t="shared" si="9"/>
        <v>4.5696721311475411E-2</v>
      </c>
      <c r="M24" s="2">
        <f t="shared" si="9"/>
        <v>6.7015706806282715E-2</v>
      </c>
      <c r="N24" s="2">
        <f t="shared" si="9"/>
        <v>0.10169491525423729</v>
      </c>
      <c r="O24" s="2">
        <f t="shared" si="9"/>
        <v>4.8926840526194317E-2</v>
      </c>
      <c r="P24" s="2">
        <f t="shared" si="9"/>
        <v>3.3056325023084025E-2</v>
      </c>
      <c r="Q24" s="2">
        <f t="shared" si="9"/>
        <v>5.5110692416391889E-2</v>
      </c>
      <c r="R24" s="2">
        <f t="shared" ref="R24:U24" si="10">IFERROR(R15/R$19, "N/A")</f>
        <v>0.10330114529530654</v>
      </c>
      <c r="S24" s="2">
        <f t="shared" si="10"/>
        <v>5.0872398570527652E-2</v>
      </c>
      <c r="T24" s="2">
        <f t="shared" si="10"/>
        <v>3.8177561678372052E-2</v>
      </c>
      <c r="U24" s="2">
        <f t="shared" si="10"/>
        <v>6.1355311355311352E-2</v>
      </c>
      <c r="V24" s="2">
        <f t="shared" ref="V24:Y24" si="11">IFERROR(V15/V$19, "N/A")</f>
        <v>0.10209564750134338</v>
      </c>
      <c r="W24" s="2">
        <f t="shared" si="11"/>
        <v>9.6774193548387108E-2</v>
      </c>
      <c r="X24" s="2">
        <f t="shared" si="11"/>
        <v>4.4914134742404216E-2</v>
      </c>
      <c r="Y24" s="2">
        <f t="shared" si="11"/>
        <v>7.9806529625151154E-2</v>
      </c>
    </row>
    <row r="25" spans="1:25" x14ac:dyDescent="0.3">
      <c r="A25" s="85" t="s">
        <v>263</v>
      </c>
      <c r="B25" s="2">
        <f>IFERROR(B17/B$19, "N/A")</f>
        <v>0.14250538627269929</v>
      </c>
      <c r="C25" s="2">
        <f t="shared" ref="C25:Q25" si="12">IFERROR(C17/C$19, "N/A")</f>
        <v>9.7246631517281801E-2</v>
      </c>
      <c r="D25" s="2">
        <f t="shared" si="12"/>
        <v>7.6311210539398447E-2</v>
      </c>
      <c r="E25" s="2">
        <f t="shared" si="12"/>
        <v>0.10873664362036455</v>
      </c>
      <c r="F25" s="2">
        <f t="shared" si="12"/>
        <v>0.14328447502243494</v>
      </c>
      <c r="G25" s="2">
        <f t="shared" si="12"/>
        <v>9.1093117408906868E-2</v>
      </c>
      <c r="H25" s="2">
        <f t="shared" si="12"/>
        <v>7.7510671759155242E-2</v>
      </c>
      <c r="I25" s="2">
        <f t="shared" si="12"/>
        <v>0.11386861313868617</v>
      </c>
      <c r="J25" s="2">
        <f t="shared" si="12"/>
        <v>0.15019220208676551</v>
      </c>
      <c r="K25" s="2">
        <f t="shared" si="12"/>
        <v>0.10051150895140666</v>
      </c>
      <c r="L25" s="2">
        <f t="shared" si="12"/>
        <v>8.2377049180327871E-2</v>
      </c>
      <c r="M25" s="2">
        <f t="shared" si="12"/>
        <v>0.11492146596858639</v>
      </c>
      <c r="N25" s="2">
        <f t="shared" si="12"/>
        <v>0.14296241709653648</v>
      </c>
      <c r="O25" s="2">
        <f t="shared" si="12"/>
        <v>9.5084237249019141E-2</v>
      </c>
      <c r="P25" s="2">
        <f t="shared" si="12"/>
        <v>7.3314866112650048E-2</v>
      </c>
      <c r="Q25" s="2">
        <f t="shared" si="12"/>
        <v>0.10621761658031087</v>
      </c>
      <c r="R25" s="2">
        <f t="shared" ref="R25:U25" si="13">IFERROR(R17/R$19, "N/A")</f>
        <v>0.14304962946328317</v>
      </c>
      <c r="S25" s="2">
        <f t="shared" si="13"/>
        <v>8.8080723144839196E-2</v>
      </c>
      <c r="T25" s="2">
        <f t="shared" si="13"/>
        <v>7.0052224023050613E-2</v>
      </c>
      <c r="U25" s="2">
        <f t="shared" si="13"/>
        <v>0.10393772893772894</v>
      </c>
      <c r="V25" s="2">
        <f t="shared" ref="V25:Y25" si="14">IFERROR(V17/V$19, "N/A")</f>
        <v>0.14212788823213329</v>
      </c>
      <c r="W25" s="2">
        <f t="shared" si="14"/>
        <v>0.60721062618595834</v>
      </c>
      <c r="X25" s="2">
        <f t="shared" si="14"/>
        <v>0.33025099075297221</v>
      </c>
      <c r="Y25" s="2">
        <f t="shared" si="14"/>
        <v>0.42563482466747277</v>
      </c>
    </row>
    <row r="26" spans="1:25" x14ac:dyDescent="0.3">
      <c r="A26" s="14" t="s">
        <v>262</v>
      </c>
      <c r="B26" s="238">
        <f>SUM(B22:B24)</f>
        <v>1</v>
      </c>
      <c r="C26" s="238">
        <f t="shared" ref="C26:Q26" si="15">SUM(C22:C24)</f>
        <v>1</v>
      </c>
      <c r="D26" s="238">
        <f t="shared" si="15"/>
        <v>1</v>
      </c>
      <c r="E26" s="238">
        <f t="shared" si="15"/>
        <v>1</v>
      </c>
      <c r="F26" s="238">
        <f t="shared" si="15"/>
        <v>1</v>
      </c>
      <c r="G26" s="238">
        <f t="shared" si="15"/>
        <v>0.99999999999999978</v>
      </c>
      <c r="H26" s="238">
        <f t="shared" si="15"/>
        <v>1</v>
      </c>
      <c r="I26" s="238">
        <f t="shared" si="15"/>
        <v>1.0000000000000002</v>
      </c>
      <c r="J26" s="238">
        <f t="shared" si="15"/>
        <v>1</v>
      </c>
      <c r="K26" s="238">
        <f t="shared" si="15"/>
        <v>1</v>
      </c>
      <c r="L26" s="238">
        <f t="shared" si="15"/>
        <v>1</v>
      </c>
      <c r="M26" s="238">
        <f t="shared" si="15"/>
        <v>1</v>
      </c>
      <c r="N26" s="238">
        <f t="shared" si="15"/>
        <v>1</v>
      </c>
      <c r="O26" s="238">
        <f t="shared" si="15"/>
        <v>0.99999999999999989</v>
      </c>
      <c r="P26" s="238">
        <f t="shared" si="15"/>
        <v>1.0000000000000002</v>
      </c>
      <c r="Q26" s="238">
        <f t="shared" si="15"/>
        <v>0.99999999999999989</v>
      </c>
      <c r="R26" s="238">
        <f t="shared" ref="R26:U26" si="16">SUM(R22:R24)</f>
        <v>1</v>
      </c>
      <c r="S26" s="238">
        <f t="shared" si="16"/>
        <v>1.0000000000000002</v>
      </c>
      <c r="T26" s="238">
        <f t="shared" si="16"/>
        <v>1</v>
      </c>
      <c r="U26" s="238">
        <f t="shared" si="16"/>
        <v>1</v>
      </c>
      <c r="V26" s="238">
        <f t="shared" ref="V26:Y26" si="17">SUM(V22:V24)</f>
        <v>1.0000000000000002</v>
      </c>
      <c r="W26" s="238">
        <f t="shared" si="17"/>
        <v>1</v>
      </c>
      <c r="X26" s="238">
        <f t="shared" si="17"/>
        <v>1</v>
      </c>
      <c r="Y26" s="238">
        <f t="shared" si="17"/>
        <v>1</v>
      </c>
    </row>
    <row r="27" spans="1:25" x14ac:dyDescent="0.3">
      <c r="A27" s="8" t="str">
        <f>IF(Inputs!$E$10 = "miles", "Per RPM:", "Per RPK:")</f>
        <v>Per RPM:</v>
      </c>
      <c r="B27" s="10"/>
      <c r="C27" s="10"/>
      <c r="D27" s="10"/>
      <c r="E27" s="10"/>
      <c r="F27" s="10"/>
      <c r="G27" s="10"/>
      <c r="H27" s="10"/>
      <c r="I27" s="10"/>
      <c r="J27" s="10"/>
      <c r="K27" s="10"/>
      <c r="L27" s="10"/>
      <c r="M27" s="10"/>
      <c r="N27" s="10"/>
      <c r="O27" s="10"/>
      <c r="P27" s="10"/>
      <c r="Q27" s="10"/>
      <c r="R27" s="10"/>
      <c r="S27" s="10"/>
      <c r="T27" s="10"/>
      <c r="U27" s="10"/>
      <c r="V27" s="10"/>
      <c r="W27" s="10"/>
      <c r="X27" s="10"/>
      <c r="Y27" s="10"/>
    </row>
    <row r="28" spans="1:25" x14ac:dyDescent="0.3">
      <c r="A28" s="85" t="str">
        <f>("Passenger Revenue -: [cents/" &amp;'Annual Operational Data'!$A$31 &amp; "]")</f>
        <v>Passenger Revenue -: [cents/RPMs]</v>
      </c>
      <c r="B28" s="5">
        <f>IFERROR(B9*100/'Interim Operational Data'!B$31, "N/A")</f>
        <v>15.061954688005853</v>
      </c>
      <c r="C28" s="5">
        <f>IFERROR(C9*100/'Interim Operational Data'!C$31, "N/A")</f>
        <v>14.878975932901591</v>
      </c>
      <c r="D28" s="5">
        <f>IFERROR(D9*100/'Interim Operational Data'!D$31, "N/A")</f>
        <v>13.899364458442491</v>
      </c>
      <c r="E28" s="5">
        <f>IFERROR(E9*100/'Interim Operational Data'!E$31, "N/A")</f>
        <v>13.888275005803891</v>
      </c>
      <c r="F28" s="5">
        <f>IFERROR(F9*100/'Interim Operational Data'!F$31, "N/A")</f>
        <v>12.952138791834226</v>
      </c>
      <c r="G28" s="5">
        <f>IFERROR(G9*100/'Interim Operational Data'!G$31, "N/A")</f>
        <v>13.239530374623858</v>
      </c>
      <c r="H28" s="5">
        <f>IFERROR(H9*100/'Interim Operational Data'!H$31, "N/A")</f>
        <v>12.947269282417333</v>
      </c>
      <c r="I28" s="5">
        <f>IFERROR(I9*100/'Interim Operational Data'!I$31, "N/A")</f>
        <v>12.890438261522018</v>
      </c>
      <c r="J28" s="5">
        <f>IFERROR(J9*100/'Interim Operational Data'!J$31, "N/A")</f>
        <v>12.747984062632611</v>
      </c>
      <c r="K28" s="5">
        <f>IFERROR(K9*100/'Interim Operational Data'!K$31, "N/A")</f>
        <v>12.476048257652637</v>
      </c>
      <c r="L28" s="5">
        <f>IFERROR(L9*100/'Interim Operational Data'!L$31, "N/A")</f>
        <v>13.491559157559617</v>
      </c>
      <c r="M28" s="5">
        <f>IFERROR(M9*100/'Interim Operational Data'!M$31, "N/A")</f>
        <v>13.720731269638602</v>
      </c>
      <c r="N28" s="5">
        <f>IFERROR(N9*100/'Interim Operational Data'!N$31, "N/A")</f>
        <v>13.503377357373616</v>
      </c>
      <c r="O28" s="5">
        <f>IFERROR(O9*100/'Interim Operational Data'!O$31, "N/A")</f>
        <v>13.409142701095371</v>
      </c>
      <c r="P28" s="5">
        <f>IFERROR(P9*100/'Interim Operational Data'!P$31, "N/A")</f>
        <v>13.486934897357248</v>
      </c>
      <c r="Q28" s="5">
        <f>IFERROR(Q9*100/'Interim Operational Data'!Q$31, "N/A")</f>
        <v>13.813079328554624</v>
      </c>
      <c r="R28" s="5">
        <f>IFERROR(R9*100/'Interim Operational Data'!R$31, "N/A")</f>
        <v>13.477399616421664</v>
      </c>
      <c r="S28" s="5">
        <f>IFERROR(S9*100/'Interim Operational Data'!S$31, "N/A")</f>
        <v>13.820883056617983</v>
      </c>
      <c r="T28" s="5">
        <f>IFERROR(T9*100/'Interim Operational Data'!T$31, "N/A")</f>
        <v>13.991062966905483</v>
      </c>
      <c r="U28" s="5">
        <f>IFERROR(U9*100/'Interim Operational Data'!U$31, "N/A")</f>
        <v>13.853808458900525</v>
      </c>
      <c r="V28" s="5">
        <f>IFERROR(V9*100/'Interim Operational Data'!V$31, "N/A")</f>
        <v>13.593568917925959</v>
      </c>
      <c r="W28" s="5">
        <f>IFERROR(W9*100/'Interim Operational Data'!W$31, "N/A")</f>
        <v>19.063126249598284</v>
      </c>
      <c r="X28" s="5">
        <f>IFERROR(X9*100/'Interim Operational Data'!X$31, "N/A")</f>
        <v>14.977898957941482</v>
      </c>
      <c r="Y28" s="5">
        <f>IFERROR(Y9*100/'Interim Operational Data'!Y$31, "N/A")</f>
        <v>14.661999849861122</v>
      </c>
    </row>
    <row r="29" spans="1:25" x14ac:dyDescent="0.3">
      <c r="A29" s="85" t="s">
        <v>0</v>
      </c>
      <c r="B29" s="2"/>
      <c r="C29" s="2"/>
      <c r="D29" s="2"/>
      <c r="E29" s="2"/>
      <c r="F29" s="2"/>
      <c r="G29" s="2"/>
      <c r="H29" s="2"/>
      <c r="I29" s="2"/>
      <c r="J29" s="2"/>
      <c r="K29" s="2"/>
      <c r="L29" s="2"/>
      <c r="M29" s="2"/>
      <c r="N29" s="2"/>
      <c r="O29" s="2"/>
      <c r="P29" s="2"/>
      <c r="Q29" s="2"/>
      <c r="R29" s="2"/>
      <c r="S29" s="2"/>
      <c r="T29" s="2"/>
      <c r="U29" s="2"/>
      <c r="V29" s="2"/>
      <c r="W29" s="2"/>
      <c r="X29" s="2"/>
      <c r="Y29" s="2"/>
    </row>
    <row r="30" spans="1:25" x14ac:dyDescent="0.3">
      <c r="A30" s="85" t="str">
        <f>("Ancillary Revenue -: [cents/" &amp;'Annual Operational Data'!$A$31 &amp; "]")</f>
        <v>Ancillary Revenue -: [cents/RPMs]</v>
      </c>
      <c r="B30" s="5">
        <f>IFERROR(B10*100/'Interim Operational Data'!B$31, "N/A")</f>
        <v>0</v>
      </c>
      <c r="C30" s="5">
        <f>IFERROR(C10*100/'Interim Operational Data'!C$31, "N/A")</f>
        <v>0</v>
      </c>
      <c r="D30" s="5">
        <f>IFERROR(D10*100/'Interim Operational Data'!D$31, "N/A")</f>
        <v>0</v>
      </c>
      <c r="E30" s="5">
        <f>IFERROR(E10*100/'Interim Operational Data'!E$31, "N/A")</f>
        <v>0</v>
      </c>
      <c r="F30" s="5">
        <f>IFERROR(F10*100/'Interim Operational Data'!F$31, "N/A")</f>
        <v>0</v>
      </c>
      <c r="G30" s="5">
        <f>IFERROR(G10*100/'Interim Operational Data'!G$31, "N/A")</f>
        <v>0</v>
      </c>
      <c r="H30" s="5">
        <f>IFERROR(H10*100/'Interim Operational Data'!H$31, "N/A")</f>
        <v>0</v>
      </c>
      <c r="I30" s="5">
        <f>IFERROR(I10*100/'Interim Operational Data'!I$31, "N/A")</f>
        <v>0</v>
      </c>
      <c r="J30" s="5">
        <f>IFERROR(J10*100/'Interim Operational Data'!J$31, "N/A")</f>
        <v>0</v>
      </c>
      <c r="K30" s="5">
        <f>IFERROR(K10*100/'Interim Operational Data'!K$31, "N/A")</f>
        <v>0</v>
      </c>
      <c r="L30" s="5">
        <f>IFERROR(L10*100/'Interim Operational Data'!L$31, "N/A")</f>
        <v>0</v>
      </c>
      <c r="M30" s="5">
        <f>IFERROR(M10*100/'Interim Operational Data'!M$31, "N/A")</f>
        <v>0</v>
      </c>
      <c r="N30" s="5">
        <f>IFERROR(N10*100/'Interim Operational Data'!N$31, "N/A")</f>
        <v>0</v>
      </c>
      <c r="O30" s="5">
        <f>IFERROR(O10*100/'Interim Operational Data'!O$31, "N/A")</f>
        <v>0</v>
      </c>
      <c r="P30" s="5">
        <f>IFERROR(P10*100/'Interim Operational Data'!P$31, "N/A")</f>
        <v>0</v>
      </c>
      <c r="Q30" s="5">
        <f>IFERROR(Q10*100/'Interim Operational Data'!Q$31, "N/A")</f>
        <v>0</v>
      </c>
      <c r="R30" s="5">
        <f>IFERROR(R10*100/'Interim Operational Data'!R$31, "N/A")</f>
        <v>0</v>
      </c>
      <c r="S30" s="5">
        <f>IFERROR(S10*100/'Interim Operational Data'!S$31, "N/A")</f>
        <v>0</v>
      </c>
      <c r="T30" s="5">
        <f>IFERROR(T10*100/'Interim Operational Data'!T$31, "N/A")</f>
        <v>0</v>
      </c>
      <c r="U30" s="5">
        <f>IFERROR(U10*100/'Interim Operational Data'!U$31, "N/A")</f>
        <v>0</v>
      </c>
      <c r="V30" s="5">
        <f>IFERROR(V10*100/'Interim Operational Data'!V$31, "N/A")</f>
        <v>0</v>
      </c>
      <c r="W30" s="5">
        <f>IFERROR(W10*100/'Interim Operational Data'!W$31, "N/A")</f>
        <v>0</v>
      </c>
      <c r="X30" s="5">
        <f>IFERROR(X10*100/'Interim Operational Data'!X$31, "N/A")</f>
        <v>0</v>
      </c>
      <c r="Y30" s="5">
        <f>IFERROR(Y10*100/'Interim Operational Data'!Y$31, "N/A")</f>
        <v>0</v>
      </c>
    </row>
    <row r="31" spans="1:25" x14ac:dyDescent="0.3">
      <c r="A31" s="85" t="s">
        <v>0</v>
      </c>
      <c r="B31" s="2"/>
      <c r="C31" s="2"/>
      <c r="D31" s="2"/>
      <c r="E31" s="2"/>
      <c r="F31" s="2"/>
      <c r="G31" s="2"/>
      <c r="H31" s="2"/>
      <c r="I31" s="2"/>
      <c r="J31" s="2"/>
      <c r="K31" s="2"/>
      <c r="L31" s="2"/>
      <c r="M31" s="2"/>
      <c r="N31" s="2"/>
      <c r="O31" s="2"/>
      <c r="P31" s="2"/>
      <c r="Q31" s="2"/>
      <c r="R31" s="2"/>
      <c r="S31" s="2"/>
      <c r="T31" s="2"/>
      <c r="U31" s="2"/>
      <c r="V31" s="2"/>
      <c r="W31" s="2"/>
      <c r="X31" s="2"/>
      <c r="Y31" s="2"/>
    </row>
    <row r="32" spans="1:25" x14ac:dyDescent="0.3">
      <c r="A32" s="85" t="str">
        <f>("Cargo Revenue -: [cents/"&amp;'Annual Operational Data'!$A$31 &amp; "]")</f>
        <v>Cargo Revenue -: [cents/RPMs]</v>
      </c>
      <c r="B32" s="5">
        <f>IFERROR(B13*100/'Interim Operational Data'!B$31, "N/A")</f>
        <v>0.69741283372317109</v>
      </c>
      <c r="C32" s="5">
        <f>IFERROR(C13*100/'Interim Operational Data'!C$31, "N/A")</f>
        <v>0.59380728090424906</v>
      </c>
      <c r="D32" s="5">
        <f>IFERROR(D13*100/'Interim Operational Data'!D$31, "N/A")</f>
        <v>0.44510881877143615</v>
      </c>
      <c r="E32" s="5">
        <f>IFERROR(E13*100/'Interim Operational Data'!E$31, "N/A")</f>
        <v>0.66111323194059424</v>
      </c>
      <c r="F32" s="5">
        <f>IFERROR(F13*100/'Interim Operational Data'!F$31, "N/A")</f>
        <v>0.52459780022792268</v>
      </c>
      <c r="G32" s="5">
        <f>IFERROR(G13*100/'Interim Operational Data'!G$31, "N/A")</f>
        <v>0.46757488755432647</v>
      </c>
      <c r="H32" s="5">
        <f>IFERROR(H13*100/'Interim Operational Data'!H$31, "N/A")</f>
        <v>0.40992328463571687</v>
      </c>
      <c r="I32" s="5">
        <f>IFERROR(I13*100/'Interim Operational Data'!I$31, "N/A")</f>
        <v>0.65832551253242588</v>
      </c>
      <c r="J32" s="5">
        <f>IFERROR(J13*100/'Interim Operational Data'!J$31, "N/A")</f>
        <v>0.55193210481188038</v>
      </c>
      <c r="K32" s="5">
        <f>IFERROR(K13*100/'Interim Operational Data'!K$31, "N/A")</f>
        <v>0.54629270164302135</v>
      </c>
      <c r="L32" s="5">
        <f>IFERROR(L13*100/'Interim Operational Data'!L$31, "N/A")</f>
        <v>0.53930082385064138</v>
      </c>
      <c r="M32" s="5">
        <f>IFERROR(M13*100/'Interim Operational Data'!M$31, "N/A")</f>
        <v>0.74264827635133523</v>
      </c>
      <c r="N32" s="5">
        <f>IFERROR(N13*100/'Interim Operational Data'!N$31, "N/A")</f>
        <v>0.65020561652013986</v>
      </c>
      <c r="O32" s="5">
        <f>IFERROR(O13*100/'Interim Operational Data'!O$31, "N/A")</f>
        <v>0.6839654527465121</v>
      </c>
      <c r="P32" s="5">
        <f>IFERROR(P13*100/'Interim Operational Data'!P$31, "N/A")</f>
        <v>0.58592104576003978</v>
      </c>
      <c r="Q32" s="5">
        <f>IFERROR(Q13*100/'Interim Operational Data'!Q$31, "N/A")</f>
        <v>0.78983879164594295</v>
      </c>
      <c r="R32" s="5">
        <f>IFERROR(R13*100/'Interim Operational Data'!R$31, "N/A")</f>
        <v>0.62513095705100474</v>
      </c>
      <c r="S32" s="5">
        <f>IFERROR(S13*100/'Interim Operational Data'!S$31, "N/A")</f>
        <v>0.56392261434333402</v>
      </c>
      <c r="T32" s="5">
        <f>IFERROR(T13*100/'Interim Operational Data'!T$31, "N/A")</f>
        <v>0.47955424964025378</v>
      </c>
      <c r="U32" s="5">
        <f>IFERROR(U13*100/'Interim Operational Data'!U$31, "N/A")</f>
        <v>0.65835676375970809</v>
      </c>
      <c r="V32" s="5">
        <f>IFERROR(V13*100/'Interim Operational Data'!V$31, "N/A")</f>
        <v>0.63433816748229488</v>
      </c>
      <c r="W32" s="5">
        <f>IFERROR(W13*100/'Interim Operational Data'!W$31, "N/A")</f>
        <v>24.772854884743662</v>
      </c>
      <c r="X32" s="5">
        <f>IFERROR(X13*100/'Interim Operational Data'!X$31, "N/A")</f>
        <v>6.3811167158093882</v>
      </c>
      <c r="Y32" s="5">
        <f>IFERROR(Y13*100/'Interim Operational Data'!Y$31, "N/A")</f>
        <v>8.8280672780216438</v>
      </c>
    </row>
    <row r="33" spans="1:25" x14ac:dyDescent="0.3">
      <c r="A33" s="85" t="s">
        <v>0</v>
      </c>
      <c r="B33" s="2"/>
      <c r="C33" s="2"/>
      <c r="D33" s="2"/>
      <c r="E33" s="2"/>
      <c r="F33" s="2"/>
      <c r="G33" s="2"/>
      <c r="H33" s="2"/>
      <c r="I33" s="2"/>
      <c r="J33" s="2"/>
      <c r="K33" s="2"/>
      <c r="L33" s="2"/>
      <c r="M33" s="2"/>
      <c r="N33" s="2"/>
      <c r="O33" s="2"/>
      <c r="P33" s="2"/>
      <c r="Q33" s="2"/>
      <c r="R33" s="2"/>
      <c r="S33" s="2"/>
      <c r="T33" s="2"/>
      <c r="U33" s="2"/>
      <c r="V33" s="2"/>
      <c r="W33" s="2"/>
      <c r="X33" s="2"/>
      <c r="Y33" s="2"/>
    </row>
    <row r="34" spans="1:25" x14ac:dyDescent="0.3">
      <c r="A34" s="85" t="str">
        <f>("Other Revenue  -: [cents/"&amp;'Annual Operational Data'!$A$31&amp;"]")</f>
        <v>Other Revenue  -: [cents/RPMs]</v>
      </c>
      <c r="B34" s="5">
        <f>IFERROR(B15*100/'Interim Operational Data'!B$31, "N/A")</f>
        <v>1.805704546228986</v>
      </c>
      <c r="C34" s="5">
        <f>IFERROR(C15*100/'Interim Operational Data'!C$31, "N/A")</f>
        <v>1.0089896073901468</v>
      </c>
      <c r="D34" s="5">
        <f>IFERROR(D15*100/'Interim Operational Data'!D$31, "N/A")</f>
        <v>0.70319712545403357</v>
      </c>
      <c r="E34" s="5">
        <f>IFERROR(E15*100/'Interim Operational Data'!E$31, "N/A")</f>
        <v>1.0332954958478917</v>
      </c>
      <c r="F34" s="5">
        <f>IFERROR(F15*100/'Interim Operational Data'!F$31, "N/A")</f>
        <v>1.6416293231270334</v>
      </c>
      <c r="G34" s="5">
        <f>IFERROR(G15*100/'Interim Operational Data'!G$31, "N/A")</f>
        <v>0.85932682037011365</v>
      </c>
      <c r="H34" s="5">
        <f>IFERROR(H15*100/'Interim Operational Data'!H$31, "N/A")</f>
        <v>0.67795004766676259</v>
      </c>
      <c r="I34" s="5">
        <f>IFERROR(I15*100/'Interim Operational Data'!I$31, "N/A")</f>
        <v>0.99810642222658119</v>
      </c>
      <c r="J34" s="5">
        <f>IFERROR(J15*100/'Interim Operational Data'!J$31, "N/A")</f>
        <v>1.7011041737858703</v>
      </c>
      <c r="K34" s="5">
        <f>IFERROR(K15*100/'Interim Operational Data'!K$31, "N/A")</f>
        <v>0.84781789410832542</v>
      </c>
      <c r="L34" s="5">
        <f>IFERROR(L15*100/'Interim Operational Data'!L$31, "N/A")</f>
        <v>0.67186638948990496</v>
      </c>
      <c r="M34" s="5">
        <f>IFERROR(M15*100/'Interim Operational Data'!M$31, "N/A")</f>
        <v>1.0388959494313761</v>
      </c>
      <c r="N34" s="5">
        <f>IFERROR(N15*100/'Interim Operational Data'!N$31, "N/A")</f>
        <v>1.6022924121389157</v>
      </c>
      <c r="O34" s="5">
        <f>IFERROR(O15*100/'Interim Operational Data'!O$31, "N/A")</f>
        <v>0.72500337991130293</v>
      </c>
      <c r="P34" s="5">
        <f>IFERROR(P15*100/'Interim Operational Data'!P$31, "N/A")</f>
        <v>0.48110030821581246</v>
      </c>
      <c r="Q34" s="5">
        <f>IFERROR(Q15*100/'Interim Operational Data'!Q$31, "N/A")</f>
        <v>0.85171556334170806</v>
      </c>
      <c r="R34" s="5">
        <f>IFERROR(R15*100/'Interim Operational Data'!R$31, "N/A")</f>
        <v>1.624634125669278</v>
      </c>
      <c r="S34" s="5">
        <f>IFERROR(S15*100/'Interim Operational Data'!S$31, "N/A")</f>
        <v>0.77101283994964331</v>
      </c>
      <c r="T34" s="5">
        <f>IFERROR(T15*100/'Interim Operational Data'!T$31, "N/A")</f>
        <v>0.57438136115103844</v>
      </c>
      <c r="U34" s="5">
        <f>IFERROR(U15*100/'Interim Operational Data'!U$31, "N/A")</f>
        <v>0.94860006821291276</v>
      </c>
      <c r="V34" s="5">
        <f>IFERROR(V15*100/'Interim Operational Data'!V$31, "N/A")</f>
        <v>1.6177751922367254</v>
      </c>
      <c r="W34" s="5">
        <f>IFERROR(W15*100/'Interim Operational Data'!W$31, "N/A")</f>
        <v>4.6967122643937804</v>
      </c>
      <c r="X34" s="5">
        <f>IFERROR(X15*100/'Interim Operational Data'!X$31, "N/A")</f>
        <v>1.0044350385996259</v>
      </c>
      <c r="Y34" s="5">
        <f>IFERROR(Y15*100/'Interim Operational Data'!Y$31, "N/A")</f>
        <v>2.0372462949280714</v>
      </c>
    </row>
    <row r="35" spans="1:25" x14ac:dyDescent="0.3">
      <c r="A35" s="85" t="s">
        <v>0</v>
      </c>
      <c r="B35" s="2"/>
      <c r="C35" s="2"/>
      <c r="D35" s="2"/>
      <c r="E35" s="2"/>
      <c r="F35" s="2"/>
      <c r="G35" s="2"/>
      <c r="H35" s="2"/>
      <c r="I35" s="2"/>
      <c r="J35" s="2"/>
      <c r="K35" s="2"/>
      <c r="L35" s="2"/>
      <c r="M35" s="2"/>
      <c r="N35" s="2"/>
      <c r="O35" s="2"/>
      <c r="P35" s="2"/>
      <c r="Q35" s="2"/>
      <c r="R35" s="2"/>
      <c r="S35" s="2"/>
      <c r="T35" s="2"/>
      <c r="U35" s="2"/>
      <c r="V35" s="2"/>
      <c r="W35" s="2"/>
      <c r="X35" s="2"/>
      <c r="Y35" s="2"/>
    </row>
    <row r="36" spans="1:25" x14ac:dyDescent="0.3">
      <c r="A36" s="85" t="str">
        <f>("Total Cargo &amp; Other Revenue -: [cents/" &amp;'Annual Operational Data'!$A$31 &amp; "]")</f>
        <v>Total Cargo &amp; Other Revenue -: [cents/RPMs]</v>
      </c>
      <c r="B36" s="5">
        <f>IFERROR(B17*100/'Interim Operational Data'!B$31, "N/A")</f>
        <v>2.5031173799521573</v>
      </c>
      <c r="C36" s="5">
        <f>IFERROR(C17*100/'Interim Operational Data'!C$31, "N/A")</f>
        <v>1.6027968882943961</v>
      </c>
      <c r="D36" s="5">
        <f>IFERROR(D17*100/'Interim Operational Data'!D$31, "N/A")</f>
        <v>1.1483059442254695</v>
      </c>
      <c r="E36" s="5">
        <f>IFERROR(E17*100/'Interim Operational Data'!E$31, "N/A")</f>
        <v>1.6944087277884856</v>
      </c>
      <c r="F36" s="5">
        <f>IFERROR(F17*100/'Interim Operational Data'!F$31, "N/A")</f>
        <v>2.1662271233549562</v>
      </c>
      <c r="G36" s="5">
        <f>IFERROR(G17*100/'Interim Operational Data'!G$31, "N/A")</f>
        <v>1.3269017079244401</v>
      </c>
      <c r="H36" s="5">
        <f>IFERROR(H17*100/'Interim Operational Data'!H$31, "N/A")</f>
        <v>1.0878733323024792</v>
      </c>
      <c r="I36" s="5">
        <f>IFERROR(I17*100/'Interim Operational Data'!I$31, "N/A")</f>
        <v>1.6564319347590075</v>
      </c>
      <c r="J36" s="5">
        <f>IFERROR(J17*100/'Interim Operational Data'!J$31, "N/A")</f>
        <v>2.2530362785977505</v>
      </c>
      <c r="K36" s="5">
        <f>IFERROR(K17*100/'Interim Operational Data'!K$31, "N/A")</f>
        <v>1.3941105957513469</v>
      </c>
      <c r="L36" s="5">
        <f>IFERROR(L17*100/'Interim Operational Data'!L$31, "N/A")</f>
        <v>1.2111672133405462</v>
      </c>
      <c r="M36" s="5">
        <f>IFERROR(M17*100/'Interim Operational Data'!M$31, "N/A")</f>
        <v>1.7815442257827114</v>
      </c>
      <c r="N36" s="5">
        <f>IFERROR(N17*100/'Interim Operational Data'!N$31, "N/A")</f>
        <v>2.2524980286590557</v>
      </c>
      <c r="O36" s="5">
        <f>IFERROR(O17*100/'Interim Operational Data'!O$31, "N/A")</f>
        <v>1.4089688326578151</v>
      </c>
      <c r="P36" s="5">
        <f>IFERROR(P17*100/'Interim Operational Data'!P$31, "N/A")</f>
        <v>1.0670213539758522</v>
      </c>
      <c r="Q36" s="5">
        <f>IFERROR(Q17*100/'Interim Operational Data'!Q$31, "N/A")</f>
        <v>1.641554354987651</v>
      </c>
      <c r="R36" s="5">
        <f>IFERROR(R17*100/'Interim Operational Data'!R$31, "N/A")</f>
        <v>2.2497650827202826</v>
      </c>
      <c r="S36" s="5">
        <f>IFERROR(S17*100/'Interim Operational Data'!S$31, "N/A")</f>
        <v>1.3349354542929772</v>
      </c>
      <c r="T36" s="5">
        <f>IFERROR(T17*100/'Interim Operational Data'!T$31, "N/A")</f>
        <v>1.0539356107912923</v>
      </c>
      <c r="U36" s="5">
        <f>IFERROR(U17*100/'Interim Operational Data'!U$31, "N/A")</f>
        <v>1.6069568319726208</v>
      </c>
      <c r="V36" s="5">
        <f>IFERROR(V17*100/'Interim Operational Data'!V$31, "N/A")</f>
        <v>2.2521133597190204</v>
      </c>
      <c r="W36" s="5">
        <f>IFERROR(W17*100/'Interim Operational Data'!W$31, "N/A")</f>
        <v>29.469567149137443</v>
      </c>
      <c r="X36" s="5">
        <f>IFERROR(X17*100/'Interim Operational Data'!X$31, "N/A")</f>
        <v>7.3855517544090148</v>
      </c>
      <c r="Y36" s="5">
        <f>IFERROR(Y17*100/'Interim Operational Data'!Y$31, "N/A")</f>
        <v>10.865313572949715</v>
      </c>
    </row>
    <row r="37" spans="1:25" x14ac:dyDescent="0.3">
      <c r="A37" s="85" t="s">
        <v>0</v>
      </c>
      <c r="B37" s="2"/>
      <c r="C37" s="2"/>
      <c r="D37" s="2"/>
      <c r="E37" s="2"/>
      <c r="F37" s="2"/>
      <c r="G37" s="2"/>
      <c r="H37" s="2"/>
      <c r="I37" s="2"/>
      <c r="J37" s="2"/>
      <c r="K37" s="2"/>
      <c r="L37" s="2"/>
      <c r="M37" s="2"/>
      <c r="N37" s="2"/>
      <c r="O37" s="2"/>
      <c r="P37" s="2"/>
      <c r="Q37" s="2"/>
      <c r="R37" s="2"/>
      <c r="S37" s="2"/>
      <c r="T37" s="2"/>
      <c r="U37" s="2"/>
      <c r="V37" s="2"/>
      <c r="W37" s="2"/>
      <c r="X37" s="2"/>
      <c r="Y37" s="2"/>
    </row>
    <row r="38" spans="1:25" x14ac:dyDescent="0.3">
      <c r="A38" s="14" t="str">
        <f>("Total Revenue -: [cents/"&amp;'Annual Operational Data'!$A$31 &amp; "]")</f>
        <v>Total Revenue -: [cents/RPMs]</v>
      </c>
      <c r="B38" s="6">
        <f>IFERROR(B19*100/'Interim Operational Data'!B$31, "N/A")</f>
        <v>17.56507206795801</v>
      </c>
      <c r="C38" s="6">
        <f>IFERROR(C19*100/'Interim Operational Data'!C$31, "N/A")</f>
        <v>16.481772821195989</v>
      </c>
      <c r="D38" s="6">
        <f>IFERROR(D19*100/'Interim Operational Data'!D$31, "N/A")</f>
        <v>15.047670402667961</v>
      </c>
      <c r="E38" s="6">
        <f>IFERROR(E19*100/'Interim Operational Data'!E$31, "N/A")</f>
        <v>15.582683733592376</v>
      </c>
      <c r="F38" s="6">
        <f>IFERROR(F19*100/'Interim Operational Data'!F$31, "N/A")</f>
        <v>15.118365915189182</v>
      </c>
      <c r="G38" s="6">
        <f>IFERROR(G19*100/'Interim Operational Data'!G$31, "N/A")</f>
        <v>14.5664320825483</v>
      </c>
      <c r="H38" s="6">
        <f>IFERROR(H19*100/'Interim Operational Data'!H$31, "N/A")</f>
        <v>14.035142614719813</v>
      </c>
      <c r="I38" s="6">
        <f>IFERROR(I19*100/'Interim Operational Data'!I$31, "N/A")</f>
        <v>14.546870196281024</v>
      </c>
      <c r="J38" s="6">
        <f>IFERROR(J19*100/'Interim Operational Data'!J$31, "N/A")</f>
        <v>15.00102034123036</v>
      </c>
      <c r="K38" s="6">
        <f>IFERROR(K19*100/'Interim Operational Data'!K$31, "N/A")</f>
        <v>13.870158853403986</v>
      </c>
      <c r="L38" s="6">
        <f>IFERROR(L19*100/'Interim Operational Data'!L$31, "N/A")</f>
        <v>14.702726370900164</v>
      </c>
      <c r="M38" s="6">
        <f>IFERROR(M19*100/'Interim Operational Data'!M$31, "N/A")</f>
        <v>15.502275495421316</v>
      </c>
      <c r="N38" s="6">
        <f>IFERROR(N19*100/'Interim Operational Data'!N$31, "N/A")</f>
        <v>15.755875386032672</v>
      </c>
      <c r="O38" s="6">
        <f>IFERROR(O19*100/'Interim Operational Data'!O$31, "N/A")</f>
        <v>14.818111533753187</v>
      </c>
      <c r="P38" s="6">
        <f>IFERROR(P19*100/'Interim Operational Data'!P$31, "N/A")</f>
        <v>14.553956251333098</v>
      </c>
      <c r="Q38" s="6">
        <f>IFERROR(Q19*100/'Interim Operational Data'!Q$31, "N/A")</f>
        <v>15.454633683542276</v>
      </c>
      <c r="R38" s="6">
        <f>IFERROR(R19*100/'Interim Operational Data'!R$31, "N/A")</f>
        <v>15.727164699141948</v>
      </c>
      <c r="S38" s="6">
        <f>IFERROR(S19*100/'Interim Operational Data'!S$31, "N/A")</f>
        <v>15.15581851091096</v>
      </c>
      <c r="T38" s="6">
        <f>IFERROR(T19*100/'Interim Operational Data'!T$31, "N/A")</f>
        <v>15.044998577696774</v>
      </c>
      <c r="U38" s="6">
        <f>IFERROR(U19*100/'Interim Operational Data'!U$31, "N/A")</f>
        <v>15.460765290873146</v>
      </c>
      <c r="V38" s="6">
        <f>IFERROR(V19*100/'Interim Operational Data'!V$31, "N/A")</f>
        <v>15.845682277644977</v>
      </c>
      <c r="W38" s="6">
        <f>IFERROR(W19*100/'Interim Operational Data'!W$31, "N/A")</f>
        <v>48.532693398735724</v>
      </c>
      <c r="X38" s="6">
        <f>IFERROR(X19*100/'Interim Operational Data'!X$31, "N/A")</f>
        <v>22.363450712350499</v>
      </c>
      <c r="Y38" s="6">
        <f>IFERROR(Y19*100/'Interim Operational Data'!Y$31, "N/A")</f>
        <v>25.527313422810835</v>
      </c>
    </row>
    <row r="39" spans="1:25" x14ac:dyDescent="0.3">
      <c r="A39" s="85" t="s">
        <v>0</v>
      </c>
      <c r="B39" s="2"/>
      <c r="C39" s="2"/>
      <c r="D39" s="2"/>
      <c r="E39" s="2"/>
      <c r="F39" s="2"/>
      <c r="G39" s="2"/>
      <c r="H39" s="2"/>
      <c r="I39" s="2"/>
      <c r="J39" s="2"/>
      <c r="K39" s="2"/>
      <c r="L39" s="2"/>
      <c r="M39" s="2"/>
      <c r="N39" s="2"/>
      <c r="O39" s="2"/>
      <c r="P39" s="2"/>
      <c r="Q39" s="2"/>
      <c r="R39" s="2"/>
      <c r="S39" s="2"/>
      <c r="T39" s="2"/>
      <c r="U39" s="2"/>
      <c r="V39" s="2"/>
      <c r="W39" s="2"/>
      <c r="X39" s="2"/>
      <c r="Y39" s="2"/>
    </row>
    <row r="40" spans="1:25" x14ac:dyDescent="0.3">
      <c r="A40" s="8" t="str">
        <f>IF(Inputs!$E$10 = "miles", "Per ASM:", "Per ASK:")</f>
        <v>Per ASM:</v>
      </c>
      <c r="B40" s="10"/>
      <c r="C40" s="10"/>
      <c r="D40" s="10"/>
      <c r="E40" s="10"/>
      <c r="F40" s="10"/>
      <c r="G40" s="10"/>
      <c r="H40" s="10"/>
      <c r="I40" s="10"/>
      <c r="J40" s="10"/>
      <c r="K40" s="10"/>
      <c r="L40" s="10"/>
      <c r="M40" s="10"/>
      <c r="N40" s="10"/>
      <c r="O40" s="10"/>
      <c r="P40" s="10"/>
      <c r="Q40" s="10"/>
      <c r="R40" s="10"/>
      <c r="S40" s="10"/>
      <c r="T40" s="10"/>
      <c r="U40" s="10"/>
      <c r="V40" s="10"/>
      <c r="W40" s="10"/>
      <c r="X40" s="10"/>
      <c r="Y40" s="10"/>
    </row>
    <row r="41" spans="1:25" x14ac:dyDescent="0.3">
      <c r="A41" s="85" t="str">
        <f>("Passenger Revenue -: [cents/" &amp;'Annual Operational Data'!$A$33 &amp; "]")</f>
        <v>Passenger Revenue -: [cents/ASMs]</v>
      </c>
      <c r="B41" s="5">
        <f>IFERROR(B9*100/'Interim Operational Data'!B$33, "N/A")</f>
        <v>12.270543614657401</v>
      </c>
      <c r="C41" s="5">
        <f>IFERROR(C9*100/'Interim Operational Data'!C$33, "N/A")</f>
        <v>12.449649790866644</v>
      </c>
      <c r="D41" s="5">
        <f>IFERROR(D9*100/'Interim Operational Data'!D$33, "N/A")</f>
        <v>12.084503741179105</v>
      </c>
      <c r="E41" s="5">
        <f>IFERROR(E9*100/'Interim Operational Data'!E$33, "N/A")</f>
        <v>11.262096341290228</v>
      </c>
      <c r="F41" s="5">
        <f>IFERROR(F9*100/'Interim Operational Data'!F$33, "N/A")</f>
        <v>10.509041367326999</v>
      </c>
      <c r="G41" s="5">
        <f>IFERROR(G9*100/'Interim Operational Data'!G$33, "N/A")</f>
        <v>10.913250556741058</v>
      </c>
      <c r="H41" s="5">
        <f>IFERROR(H9*100/'Interim Operational Data'!H$33, "N/A")</f>
        <v>11.068281927846261</v>
      </c>
      <c r="I41" s="5">
        <f>IFERROR(I9*100/'Interim Operational Data'!I$33, "N/A")</f>
        <v>10.294961850890994</v>
      </c>
      <c r="J41" s="5">
        <f>IFERROR(J9*100/'Interim Operational Data'!J$33, "N/A")</f>
        <v>10.212753371745642</v>
      </c>
      <c r="K41" s="5">
        <f>IFERROR(K9*100/'Interim Operational Data'!K$33, "N/A")</f>
        <v>10.296909647677344</v>
      </c>
      <c r="L41" s="5">
        <f>IFERROR(L9*100/'Interim Operational Data'!L$33, "N/A")</f>
        <v>11.50236888949817</v>
      </c>
      <c r="M41" s="5">
        <f>IFERROR(M9*100/'Interim Operational Data'!M$33, "N/A")</f>
        <v>11.001087334376848</v>
      </c>
      <c r="N41" s="5">
        <f>IFERROR(N9*100/'Interim Operational Data'!N$33, "N/A")</f>
        <v>11.101642393400239</v>
      </c>
      <c r="O41" s="5">
        <f>IFERROR(O9*100/'Interim Operational Data'!O$33, "N/A")</f>
        <v>11.13978212441287</v>
      </c>
      <c r="P41" s="5">
        <f>IFERROR(P9*100/'Interim Operational Data'!P$33, "N/A")</f>
        <v>11.585406097512569</v>
      </c>
      <c r="Q41" s="5">
        <f>IFERROR(Q9*100/'Interim Operational Data'!Q$33, "N/A")</f>
        <v>11.224543445318568</v>
      </c>
      <c r="R41" s="5">
        <f>IFERROR(R9*100/'Interim Operational Data'!R$33, "N/A")</f>
        <v>11.030683811211043</v>
      </c>
      <c r="S41" s="5">
        <f>IFERROR(S9*100/'Interim Operational Data'!S$33, "N/A")</f>
        <v>11.618752388299095</v>
      </c>
      <c r="T41" s="5">
        <f>IFERROR(T9*100/'Interim Operational Data'!T$33, "N/A")</f>
        <v>12.049979177893086</v>
      </c>
      <c r="U41" s="5">
        <f>IFERROR(U9*100/'Interim Operational Data'!U$33, "N/A")</f>
        <v>11.218382295253603</v>
      </c>
      <c r="V41" s="5">
        <f>IFERROR(V9*100/'Interim Operational Data'!V$33, "N/A")</f>
        <v>10.122181576544159</v>
      </c>
      <c r="W41" s="5">
        <f>IFERROR(W9*100/'Interim Operational Data'!W$33, "N/A")</f>
        <v>6.6546713568593203</v>
      </c>
      <c r="X41" s="5">
        <f>IFERROR(X9*100/'Interim Operational Data'!X$33, "N/A")</f>
        <v>6.3370939111008084</v>
      </c>
      <c r="Y41" s="5">
        <f>IFERROR(Y9*100/'Interim Operational Data'!Y$33, "N/A")</f>
        <v>5.942997272477041</v>
      </c>
    </row>
    <row r="42" spans="1:25" x14ac:dyDescent="0.3">
      <c r="A42" s="85" t="s">
        <v>0</v>
      </c>
      <c r="B42" s="2"/>
      <c r="C42" s="2"/>
      <c r="D42" s="2"/>
      <c r="E42" s="2"/>
      <c r="F42" s="2"/>
      <c r="G42" s="2"/>
      <c r="H42" s="2"/>
      <c r="I42" s="2"/>
      <c r="J42" s="2"/>
      <c r="K42" s="2"/>
      <c r="L42" s="2"/>
      <c r="M42" s="2"/>
      <c r="N42" s="2"/>
      <c r="O42" s="2"/>
      <c r="P42" s="2"/>
      <c r="Q42" s="2"/>
      <c r="R42" s="2"/>
      <c r="S42" s="2"/>
      <c r="T42" s="2"/>
      <c r="U42" s="2"/>
      <c r="V42" s="2"/>
      <c r="W42" s="2"/>
      <c r="X42" s="2"/>
      <c r="Y42" s="2"/>
    </row>
    <row r="43" spans="1:25" x14ac:dyDescent="0.3">
      <c r="A43" s="85" t="str">
        <f>("Ancillary Revenue -: [cents/" &amp;'Annual Operational Data'!$A$33 &amp; "]")</f>
        <v>Ancillary Revenue -: [cents/ASMs]</v>
      </c>
      <c r="B43" s="5">
        <f>IFERROR(B10*100/'Interim Operational Data'!B$33, "N/A")</f>
        <v>0</v>
      </c>
      <c r="C43" s="5">
        <f>IFERROR(C10*100/'Interim Operational Data'!C$33, "N/A")</f>
        <v>0</v>
      </c>
      <c r="D43" s="5">
        <f>IFERROR(D10*100/'Interim Operational Data'!D$33, "N/A")</f>
        <v>0</v>
      </c>
      <c r="E43" s="5">
        <f>IFERROR(E10*100/'Interim Operational Data'!E$33, "N/A")</f>
        <v>0</v>
      </c>
      <c r="F43" s="5">
        <f>IFERROR(F10*100/'Interim Operational Data'!F$33, "N/A")</f>
        <v>0</v>
      </c>
      <c r="G43" s="5">
        <f>IFERROR(G10*100/'Interim Operational Data'!G$33, "N/A")</f>
        <v>0</v>
      </c>
      <c r="H43" s="5">
        <f>IFERROR(H10*100/'Interim Operational Data'!H$33, "N/A")</f>
        <v>0</v>
      </c>
      <c r="I43" s="5">
        <f>IFERROR(I10*100/'Interim Operational Data'!I$33, "N/A")</f>
        <v>0</v>
      </c>
      <c r="J43" s="5">
        <f>IFERROR(J10*100/'Interim Operational Data'!J$33, "N/A")</f>
        <v>0</v>
      </c>
      <c r="K43" s="5">
        <f>IFERROR(K10*100/'Interim Operational Data'!K$33, "N/A")</f>
        <v>0</v>
      </c>
      <c r="L43" s="5">
        <f>IFERROR(L10*100/'Interim Operational Data'!L$33, "N/A")</f>
        <v>0</v>
      </c>
      <c r="M43" s="5">
        <f>IFERROR(M10*100/'Interim Operational Data'!M$33, "N/A")</f>
        <v>0</v>
      </c>
      <c r="N43" s="5">
        <f>IFERROR(N10*100/'Interim Operational Data'!N$33, "N/A")</f>
        <v>0</v>
      </c>
      <c r="O43" s="5">
        <f>IFERROR(O10*100/'Interim Operational Data'!O$33, "N/A")</f>
        <v>0</v>
      </c>
      <c r="P43" s="5">
        <f>IFERROR(P10*100/'Interim Operational Data'!P$33, "N/A")</f>
        <v>0</v>
      </c>
      <c r="Q43" s="5">
        <f>IFERROR(Q10*100/'Interim Operational Data'!Q$33, "N/A")</f>
        <v>0</v>
      </c>
      <c r="R43" s="5">
        <f>IFERROR(R10*100/'Interim Operational Data'!R$33, "N/A")</f>
        <v>0</v>
      </c>
      <c r="S43" s="5">
        <f>IFERROR(S10*100/'Interim Operational Data'!S$33, "N/A")</f>
        <v>0</v>
      </c>
      <c r="T43" s="5">
        <f>IFERROR(T10*100/'Interim Operational Data'!T$33, "N/A")</f>
        <v>0</v>
      </c>
      <c r="U43" s="5">
        <f>IFERROR(U10*100/'Interim Operational Data'!U$33, "N/A")</f>
        <v>0</v>
      </c>
      <c r="V43" s="5">
        <f>IFERROR(V10*100/'Interim Operational Data'!V$33, "N/A")</f>
        <v>0</v>
      </c>
      <c r="W43" s="5">
        <f>IFERROR(W10*100/'Interim Operational Data'!W$33, "N/A")</f>
        <v>0</v>
      </c>
      <c r="X43" s="5">
        <f>IFERROR(X10*100/'Interim Operational Data'!X$33, "N/A")</f>
        <v>0</v>
      </c>
      <c r="Y43" s="5">
        <f>IFERROR(Y10*100/'Interim Operational Data'!Y$33, "N/A")</f>
        <v>0</v>
      </c>
    </row>
    <row r="44" spans="1:25" x14ac:dyDescent="0.3">
      <c r="A44" s="85" t="s">
        <v>0</v>
      </c>
      <c r="B44" s="2"/>
      <c r="C44" s="2"/>
      <c r="D44" s="2"/>
      <c r="E44" s="2"/>
      <c r="F44" s="2"/>
      <c r="G44" s="2"/>
      <c r="H44" s="2"/>
      <c r="I44" s="2"/>
      <c r="J44" s="2"/>
      <c r="K44" s="2"/>
      <c r="L44" s="2"/>
      <c r="M44" s="2"/>
      <c r="N44" s="2"/>
      <c r="O44" s="2"/>
      <c r="P44" s="2"/>
      <c r="Q44" s="2"/>
      <c r="R44" s="2"/>
      <c r="S44" s="2"/>
      <c r="T44" s="2"/>
      <c r="U44" s="2"/>
      <c r="V44" s="2"/>
      <c r="W44" s="2"/>
      <c r="X44" s="2"/>
      <c r="Y44" s="2"/>
    </row>
    <row r="45" spans="1:25" x14ac:dyDescent="0.3">
      <c r="A45" s="85" t="str">
        <f>("Cargo Revenue -: [cents/"&amp;'Annual Operational Data'!$A$33 &amp; "]")</f>
        <v>Cargo Revenue -: [cents/ASMs]</v>
      </c>
      <c r="B45" s="5">
        <f>IFERROR(B13*100/'Interim Operational Data'!B$33, "N/A")</f>
        <v>0.56816228510079125</v>
      </c>
      <c r="C45" s="5">
        <f>IFERROR(C13*100/'Interim Operational Data'!C$33, "N/A")</f>
        <v>0.49685493973932426</v>
      </c>
      <c r="D45" s="5">
        <f>IFERROR(D13*100/'Interim Operational Data'!D$33, "N/A")</f>
        <v>0.38699029741666141</v>
      </c>
      <c r="E45" s="5">
        <f>IFERROR(E13*100/'Interim Operational Data'!E$33, "N/A")</f>
        <v>0.53610120101346292</v>
      </c>
      <c r="F45" s="5">
        <f>IFERROR(F13*100/'Interim Operational Data'!F$33, "N/A")</f>
        <v>0.42564553024089807</v>
      </c>
      <c r="G45" s="5">
        <f>IFERROR(G13*100/'Interim Operational Data'!G$33, "N/A")</f>
        <v>0.38541864836088369</v>
      </c>
      <c r="H45" s="5">
        <f>IFERROR(H13*100/'Interim Operational Data'!H$33, "N/A")</f>
        <v>0.35043269620555623</v>
      </c>
      <c r="I45" s="5">
        <f>IFERROR(I13*100/'Interim Operational Data'!I$33, "N/A")</f>
        <v>0.52577235152820567</v>
      </c>
      <c r="J45" s="5">
        <f>IFERROR(J13*100/'Interim Operational Data'!J$33, "N/A")</f>
        <v>0.44216767425328457</v>
      </c>
      <c r="K45" s="5">
        <f>IFERROR(K13*100/'Interim Operational Data'!K$33, "N/A")</f>
        <v>0.45087406475470881</v>
      </c>
      <c r="L45" s="5">
        <f>IFERROR(L13*100/'Interim Operational Data'!L$33, "N/A")</f>
        <v>0.45978651880754196</v>
      </c>
      <c r="M45" s="5">
        <f>IFERROR(M13*100/'Interim Operational Data'!M$33, "N/A")</f>
        <v>0.59544483353769995</v>
      </c>
      <c r="N45" s="5">
        <f>IFERROR(N13*100/'Interim Operational Data'!N$33, "N/A")</f>
        <v>0.5345588770682832</v>
      </c>
      <c r="O45" s="5">
        <f>IFERROR(O13*100/'Interim Operational Data'!O$33, "N/A")</f>
        <v>0.56821127898050849</v>
      </c>
      <c r="P45" s="5">
        <f>IFERROR(P13*100/'Interim Operational Data'!P$33, "N/A")</f>
        <v>0.50331178343119576</v>
      </c>
      <c r="Q45" s="5">
        <f>IFERROR(Q13*100/'Interim Operational Data'!Q$33, "N/A")</f>
        <v>0.64182501386933588</v>
      </c>
      <c r="R45" s="5">
        <f>IFERROR(R13*100/'Interim Operational Data'!R$33, "N/A")</f>
        <v>0.51164335287849949</v>
      </c>
      <c r="S45" s="5">
        <f>IFERROR(S13*100/'Interim Operational Data'!S$33, "N/A")</f>
        <v>0.4740708097577086</v>
      </c>
      <c r="T45" s="5">
        <f>IFERROR(T13*100/'Interim Operational Data'!T$33, "N/A")</f>
        <v>0.41302213681004574</v>
      </c>
      <c r="U45" s="5">
        <f>IFERROR(U13*100/'Interim Operational Data'!U$33, "N/A")</f>
        <v>0.53311678766406989</v>
      </c>
      <c r="V45" s="5">
        <f>IFERROR(V13*100/'Interim Operational Data'!V$33, "N/A")</f>
        <v>0.47234733946291252</v>
      </c>
      <c r="W45" s="5">
        <f>IFERROR(W13*100/'Interim Operational Data'!W$33, "N/A")</f>
        <v>8.647857946836508</v>
      </c>
      <c r="X45" s="5">
        <f>IFERROR(X13*100/'Interim Operational Data'!X$33, "N/A")</f>
        <v>2.6998269917115869</v>
      </c>
      <c r="Y45" s="5">
        <f>IFERROR(Y13*100/'Interim Operational Data'!Y$33, "N/A")</f>
        <v>3.5783099366914395</v>
      </c>
    </row>
    <row r="46" spans="1:25" x14ac:dyDescent="0.3">
      <c r="A46" s="85" t="s">
        <v>0</v>
      </c>
      <c r="B46" s="2"/>
      <c r="C46" s="2"/>
      <c r="D46" s="2"/>
      <c r="E46" s="2"/>
      <c r="F46" s="2"/>
      <c r="G46" s="2"/>
      <c r="H46" s="2"/>
      <c r="I46" s="2"/>
      <c r="J46" s="2"/>
      <c r="K46" s="2"/>
      <c r="L46" s="2"/>
      <c r="M46" s="2"/>
      <c r="N46" s="2"/>
      <c r="O46" s="2"/>
      <c r="P46" s="2"/>
      <c r="Q46" s="2"/>
      <c r="R46" s="2"/>
      <c r="S46" s="2"/>
      <c r="T46" s="2"/>
      <c r="U46" s="2"/>
      <c r="V46" s="2"/>
      <c r="W46" s="2"/>
      <c r="X46" s="2"/>
      <c r="Y46" s="2"/>
    </row>
    <row r="47" spans="1:25" x14ac:dyDescent="0.3">
      <c r="A47" s="85" t="str">
        <f>("Other Revenue  -: [cents/"&amp;'Annual Operational Data'!$A$33&amp;"]")</f>
        <v>Other Revenue  -: [cents/ASMs]</v>
      </c>
      <c r="B47" s="5">
        <f>IFERROR(B15*100/'Interim Operational Data'!B$33, "N/A")</f>
        <v>1.4710558389431341</v>
      </c>
      <c r="C47" s="5">
        <f>IFERROR(C15*100/'Interim Operational Data'!C$33, "N/A")</f>
        <v>0.84424945045137212</v>
      </c>
      <c r="D47" s="5">
        <f>IFERROR(D15*100/'Interim Operational Data'!D$33, "N/A")</f>
        <v>0.61137962953220459</v>
      </c>
      <c r="E47" s="5">
        <f>IFERROR(E15*100/'Interim Operational Data'!E$33, "N/A")</f>
        <v>0.83790632158400491</v>
      </c>
      <c r="F47" s="5">
        <f>IFERROR(F15*100/'Interim Operational Data'!F$33, "N/A")</f>
        <v>1.3319769610124652</v>
      </c>
      <c r="G47" s="5">
        <f>IFERROR(G15*100/'Interim Operational Data'!G$33, "N/A")</f>
        <v>0.70833697536594853</v>
      </c>
      <c r="H47" s="5">
        <f>IFERROR(H15*100/'Interim Operational Data'!H$33, "N/A")</f>
        <v>0.57956176680149696</v>
      </c>
      <c r="I47" s="5">
        <f>IFERROR(I15*100/'Interim Operational Data'!I$33, "N/A")</f>
        <v>0.79713872651050532</v>
      </c>
      <c r="J47" s="5">
        <f>IFERROR(J15*100/'Interim Operational Data'!J$33, "N/A")</f>
        <v>1.3628003691537802</v>
      </c>
      <c r="K47" s="5">
        <f>IFERROR(K15*100/'Interim Operational Data'!K$33, "N/A")</f>
        <v>0.69973312646997021</v>
      </c>
      <c r="L47" s="5">
        <f>IFERROR(L15*100/'Interim Operational Data'!L$33, "N/A")</f>
        <v>0.57280666868202146</v>
      </c>
      <c r="M47" s="5">
        <f>IFERROR(M15*100/'Interim Operational Data'!M$33, "N/A")</f>
        <v>0.83297200757186429</v>
      </c>
      <c r="N47" s="5">
        <f>IFERROR(N15*100/'Interim Operational Data'!N$33, "N/A")</f>
        <v>1.3173058042039836</v>
      </c>
      <c r="O47" s="5">
        <f>IFERROR(O15*100/'Interim Operational Data'!O$33, "N/A")</f>
        <v>0.60230395571933915</v>
      </c>
      <c r="P47" s="5">
        <f>IFERROR(P15*100/'Interim Operational Data'!P$33, "N/A")</f>
        <v>0.41326976712928454</v>
      </c>
      <c r="Q47" s="5">
        <f>IFERROR(Q15*100/'Interim Operational Data'!Q$33, "N/A")</f>
        <v>0.69210623615403033</v>
      </c>
      <c r="R47" s="5">
        <f>IFERROR(R15*100/'Interim Operational Data'!R$33, "N/A")</f>
        <v>1.3296945894017502</v>
      </c>
      <c r="S47" s="5">
        <f>IFERROR(S15*100/'Interim Operational Data'!S$33, "N/A")</f>
        <v>0.6481646099512175</v>
      </c>
      <c r="T47" s="5">
        <f>IFERROR(T15*100/'Interim Operational Data'!T$33, "N/A")</f>
        <v>0.49469318081203212</v>
      </c>
      <c r="U47" s="5">
        <f>IFERROR(U15*100/'Interim Operational Data'!U$33, "N/A")</f>
        <v>0.76814676932242332</v>
      </c>
      <c r="V47" s="5">
        <f>IFERROR(V15*100/'Interim Operational Data'!V$33, "N/A")</f>
        <v>1.2046442214490387</v>
      </c>
      <c r="W47" s="5">
        <f>IFERROR(W15*100/'Interim Operational Data'!W$33, "N/A")</f>
        <v>1.6395567111102674</v>
      </c>
      <c r="X47" s="5">
        <f>IFERROR(X15*100/'Interim Operational Data'!X$33, "N/A")</f>
        <v>0.4249727672138609</v>
      </c>
      <c r="Y47" s="5">
        <f>IFERROR(Y15*100/'Interim Operational Data'!Y$33, "N/A")</f>
        <v>0.82576383154417832</v>
      </c>
    </row>
    <row r="48" spans="1:25" x14ac:dyDescent="0.3">
      <c r="A48" s="85" t="s">
        <v>0</v>
      </c>
      <c r="B48" s="2"/>
      <c r="C48" s="2"/>
      <c r="D48" s="2"/>
      <c r="E48" s="2"/>
      <c r="F48" s="2"/>
      <c r="G48" s="2"/>
      <c r="H48" s="2"/>
      <c r="I48" s="2"/>
      <c r="J48" s="2"/>
      <c r="K48" s="2"/>
      <c r="L48" s="2"/>
      <c r="M48" s="2"/>
      <c r="N48" s="2"/>
      <c r="O48" s="2"/>
      <c r="P48" s="2"/>
      <c r="Q48" s="2"/>
      <c r="R48" s="2"/>
      <c r="S48" s="2"/>
      <c r="T48" s="2"/>
      <c r="U48" s="2"/>
      <c r="V48" s="2"/>
      <c r="W48" s="2"/>
      <c r="X48" s="2"/>
      <c r="Y48" s="2"/>
    </row>
    <row r="49" spans="1:25" x14ac:dyDescent="0.3">
      <c r="A49" s="85" t="str">
        <f>("Total Cargo &amp; Other Revenue -: [cents/" &amp;'Annual Operational Data'!$A$33 &amp; "]")</f>
        <v>Total Cargo &amp; Other Revenue -: [cents/ASMs]</v>
      </c>
      <c r="B49" s="5">
        <f>IFERROR(B17*100/'Interim Operational Data'!B$33, "N/A")</f>
        <v>2.0392181240439253</v>
      </c>
      <c r="C49" s="5">
        <f>IFERROR(C17*100/'Interim Operational Data'!C$33, "N/A")</f>
        <v>1.3411043901906965</v>
      </c>
      <c r="D49" s="5">
        <f>IFERROR(D17*100/'Interim Operational Data'!D$33, "N/A")</f>
        <v>0.99836992694886584</v>
      </c>
      <c r="E49" s="5">
        <f>IFERROR(E17*100/'Interim Operational Data'!E$33, "N/A")</f>
        <v>1.3740075225974677</v>
      </c>
      <c r="F49" s="5">
        <f>IFERROR(F17*100/'Interim Operational Data'!F$33, "N/A")</f>
        <v>1.7576224912533633</v>
      </c>
      <c r="G49" s="5">
        <f>IFERROR(G17*100/'Interim Operational Data'!G$33, "N/A")</f>
        <v>1.093755623726832</v>
      </c>
      <c r="H49" s="5">
        <f>IFERROR(H17*100/'Interim Operational Data'!H$33, "N/A")</f>
        <v>0.92999446300705302</v>
      </c>
      <c r="I49" s="5">
        <f>IFERROR(I17*100/'Interim Operational Data'!I$33, "N/A")</f>
        <v>1.3229110780387112</v>
      </c>
      <c r="J49" s="5">
        <f>IFERROR(J17*100/'Interim Operational Data'!J$33, "N/A")</f>
        <v>1.804968043407065</v>
      </c>
      <c r="K49" s="5">
        <f>IFERROR(K17*100/'Interim Operational Data'!K$33, "N/A")</f>
        <v>1.1506071912246791</v>
      </c>
      <c r="L49" s="5">
        <f>IFERROR(L17*100/'Interim Operational Data'!L$33, "N/A")</f>
        <v>1.0325931874895633</v>
      </c>
      <c r="M49" s="5">
        <f>IFERROR(M17*100/'Interim Operational Data'!M$33, "N/A")</f>
        <v>1.4284168411095644</v>
      </c>
      <c r="N49" s="5">
        <f>IFERROR(N17*100/'Interim Operational Data'!N$33, "N/A")</f>
        <v>1.851864681272267</v>
      </c>
      <c r="O49" s="5">
        <f>IFERROR(O17*100/'Interim Operational Data'!O$33, "N/A")</f>
        <v>1.1705152346998475</v>
      </c>
      <c r="P49" s="5">
        <f>IFERROR(P17*100/'Interim Operational Data'!P$33, "N/A")</f>
        <v>0.91658155056048018</v>
      </c>
      <c r="Q49" s="5">
        <f>IFERROR(Q17*100/'Interim Operational Data'!Q$33, "N/A")</f>
        <v>1.3339312500233662</v>
      </c>
      <c r="R49" s="5">
        <f>IFERROR(R17*100/'Interim Operational Data'!R$33, "N/A")</f>
        <v>1.8413379422802498</v>
      </c>
      <c r="S49" s="5">
        <f>IFERROR(S17*100/'Interim Operational Data'!S$33, "N/A")</f>
        <v>1.1222354197089262</v>
      </c>
      <c r="T49" s="5">
        <f>IFERROR(T17*100/'Interim Operational Data'!T$33, "N/A")</f>
        <v>0.90771531762207791</v>
      </c>
      <c r="U49" s="5">
        <f>IFERROR(U17*100/'Interim Operational Data'!U$33, "N/A")</f>
        <v>1.3012635569864934</v>
      </c>
      <c r="V49" s="5">
        <f>IFERROR(V17*100/'Interim Operational Data'!V$33, "N/A")</f>
        <v>1.6769915609119512</v>
      </c>
      <c r="W49" s="5">
        <f>IFERROR(W17*100/'Interim Operational Data'!W$33, "N/A")</f>
        <v>10.287414657946776</v>
      </c>
      <c r="X49" s="5">
        <f>IFERROR(X17*100/'Interim Operational Data'!X$33, "N/A")</f>
        <v>3.1247997589254481</v>
      </c>
      <c r="Y49" s="5">
        <f>IFERROR(Y17*100/'Interim Operational Data'!Y$33, "N/A")</f>
        <v>4.4040737682356177</v>
      </c>
    </row>
    <row r="50" spans="1:25" x14ac:dyDescent="0.3">
      <c r="A50" s="85" t="s">
        <v>0</v>
      </c>
      <c r="B50" s="2"/>
      <c r="C50" s="2"/>
      <c r="D50" s="2"/>
      <c r="E50" s="2"/>
      <c r="F50" s="2"/>
      <c r="G50" s="2"/>
      <c r="H50" s="2"/>
      <c r="I50" s="2"/>
      <c r="J50" s="2"/>
      <c r="K50" s="2"/>
      <c r="L50" s="2"/>
      <c r="M50" s="2"/>
      <c r="N50" s="2"/>
      <c r="O50" s="2"/>
      <c r="P50" s="2"/>
      <c r="Q50" s="2"/>
      <c r="R50" s="2"/>
      <c r="S50" s="2"/>
      <c r="T50" s="2"/>
      <c r="U50" s="2"/>
      <c r="V50" s="2"/>
      <c r="W50" s="2"/>
      <c r="X50" s="2"/>
      <c r="Y50" s="2"/>
    </row>
    <row r="51" spans="1:25" x14ac:dyDescent="0.3">
      <c r="A51" s="14" t="str">
        <f>("Total Revenue -: [cents/"&amp;'Annual Operational Data'!$A$33 &amp; "]")</f>
        <v>Total Revenue -: [cents/ASMs]</v>
      </c>
      <c r="B51" s="6">
        <f>IFERROR(B19*100/'Interim Operational Data'!B$33, "N/A")</f>
        <v>14.309761738701324</v>
      </c>
      <c r="C51" s="6">
        <f>IFERROR(C19*100/'Interim Operational Data'!C$33, "N/A")</f>
        <v>13.790754181057343</v>
      </c>
      <c r="D51" s="6">
        <f>IFERROR(D19*100/'Interim Operational Data'!D$33, "N/A")</f>
        <v>13.082873668127972</v>
      </c>
      <c r="E51" s="6">
        <f>IFERROR(E19*100/'Interim Operational Data'!E$33, "N/A")</f>
        <v>12.636103863887696</v>
      </c>
      <c r="F51" s="6">
        <f>IFERROR(F19*100/'Interim Operational Data'!F$33, "N/A")</f>
        <v>12.266663858580362</v>
      </c>
      <c r="G51" s="6">
        <f>IFERROR(G19*100/'Interim Operational Data'!G$33, "N/A")</f>
        <v>12.007006180467892</v>
      </c>
      <c r="H51" s="6">
        <f>IFERROR(H19*100/'Interim Operational Data'!H$33, "N/A")</f>
        <v>11.998276390853313</v>
      </c>
      <c r="I51" s="6">
        <f>IFERROR(I19*100/'Interim Operational Data'!I$33, "N/A")</f>
        <v>11.617872928929705</v>
      </c>
      <c r="J51" s="6">
        <f>IFERROR(J19*100/'Interim Operational Data'!J$33, "N/A")</f>
        <v>12.017721415152705</v>
      </c>
      <c r="K51" s="6">
        <f>IFERROR(K19*100/'Interim Operational Data'!K$33, "N/A")</f>
        <v>11.447516838902024</v>
      </c>
      <c r="L51" s="6">
        <f>IFERROR(L19*100/'Interim Operational Data'!L$33, "N/A")</f>
        <v>12.534962076987734</v>
      </c>
      <c r="M51" s="6">
        <f>IFERROR(M19*100/'Interim Operational Data'!M$33, "N/A")</f>
        <v>12.429504175486414</v>
      </c>
      <c r="N51" s="6">
        <f>IFERROR(N19*100/'Interim Operational Data'!N$33, "N/A")</f>
        <v>12.953507074672505</v>
      </c>
      <c r="O51" s="6">
        <f>IFERROR(O19*100/'Interim Operational Data'!O$33, "N/A")</f>
        <v>12.310297359112718</v>
      </c>
      <c r="P51" s="6">
        <f>IFERROR(P19*100/'Interim Operational Data'!P$33, "N/A")</f>
        <v>12.501987648073049</v>
      </c>
      <c r="Q51" s="6">
        <f>IFERROR(Q19*100/'Interim Operational Data'!Q$33, "N/A")</f>
        <v>12.558474695341936</v>
      </c>
      <c r="R51" s="6">
        <f>IFERROR(R19*100/'Interim Operational Data'!R$33, "N/A")</f>
        <v>12.872021753491294</v>
      </c>
      <c r="S51" s="6">
        <f>IFERROR(S19*100/'Interim Operational Data'!S$33, "N/A")</f>
        <v>12.74098780800802</v>
      </c>
      <c r="T51" s="6">
        <f>IFERROR(T19*100/'Interim Operational Data'!T$33, "N/A")</f>
        <v>12.957694495515161</v>
      </c>
      <c r="U51" s="6">
        <f>IFERROR(U19*100/'Interim Operational Data'!U$33, "N/A")</f>
        <v>12.519645852240094</v>
      </c>
      <c r="V51" s="6">
        <f>IFERROR(V19*100/'Interim Operational Data'!V$33, "N/A")</f>
        <v>11.79917313745611</v>
      </c>
      <c r="W51" s="6">
        <f>IFERROR(W19*100/'Interim Operational Data'!W$33, "N/A")</f>
        <v>16.942086014806094</v>
      </c>
      <c r="X51" s="6">
        <f>IFERROR(X19*100/'Interim Operational Data'!X$33, "N/A")</f>
        <v>9.4618936700262584</v>
      </c>
      <c r="Y51" s="6">
        <f>IFERROR(Y19*100/'Interim Operational Data'!Y$33, "N/A")</f>
        <v>10.347071040712658</v>
      </c>
    </row>
    <row r="52" spans="1:25" x14ac:dyDescent="0.3">
      <c r="A52" s="85" t="s">
        <v>0</v>
      </c>
      <c r="B52" s="2"/>
      <c r="C52" s="2"/>
      <c r="D52" s="2"/>
      <c r="E52" s="2"/>
      <c r="F52" s="2"/>
      <c r="G52" s="2"/>
      <c r="H52" s="2"/>
      <c r="I52" s="2"/>
      <c r="J52" s="2"/>
      <c r="K52" s="2"/>
      <c r="L52" s="2"/>
      <c r="M52" s="2"/>
      <c r="N52" s="2"/>
      <c r="O52" s="2"/>
      <c r="P52" s="2"/>
      <c r="Q52" s="2"/>
      <c r="R52" s="2"/>
      <c r="S52" s="2"/>
      <c r="T52" s="2"/>
      <c r="U52" s="2"/>
      <c r="V52" s="2"/>
      <c r="W52" s="2"/>
      <c r="X52" s="2"/>
      <c r="Y52" s="2"/>
    </row>
    <row r="53" spans="1:25" x14ac:dyDescent="0.3">
      <c r="A53" s="8" t="str">
        <f>IF(Inputs!$E$10 = "miles", "Per RFTM:", "Per RFTK:")</f>
        <v>Per RFTM:</v>
      </c>
      <c r="B53" s="10"/>
      <c r="C53" s="10"/>
      <c r="D53" s="10"/>
      <c r="E53" s="10"/>
      <c r="F53" s="10"/>
      <c r="G53" s="10"/>
      <c r="H53" s="10"/>
      <c r="I53" s="10"/>
      <c r="J53" s="10"/>
      <c r="K53" s="10"/>
      <c r="L53" s="10"/>
      <c r="M53" s="10"/>
      <c r="N53" s="10"/>
      <c r="O53" s="10"/>
      <c r="P53" s="10"/>
      <c r="Q53" s="10"/>
      <c r="R53" s="10"/>
      <c r="S53" s="10"/>
      <c r="T53" s="10"/>
      <c r="U53" s="10"/>
      <c r="V53" s="10"/>
      <c r="W53" s="10"/>
      <c r="X53" s="10"/>
      <c r="Y53" s="10"/>
    </row>
    <row r="54" spans="1:25" x14ac:dyDescent="0.3">
      <c r="A54" s="85" t="str">
        <f>("Cargo Revenue -: [cents/"&amp;'Annual Operational Data'!$A$37 &amp; "]")</f>
        <v>Cargo Revenue -: [cents/RFTMs]</v>
      </c>
      <c r="B54" s="5" t="str">
        <f>IFERROR(B13*100/'Interim Operational Data'!B37,"N/A")</f>
        <v>N/A</v>
      </c>
      <c r="C54" s="5" t="str">
        <f>IFERROR(C13*100/'Interim Operational Data'!C37,"N/A")</f>
        <v>N/A</v>
      </c>
      <c r="D54" s="5" t="str">
        <f>IFERROR(D13*100/'Interim Operational Data'!D37,"N/A")</f>
        <v>N/A</v>
      </c>
      <c r="E54" s="5" t="str">
        <f>IFERROR(E13*100/'Interim Operational Data'!E37,"N/A")</f>
        <v>N/A</v>
      </c>
      <c r="F54" s="5" t="str">
        <f>IFERROR(F13*100/'Interim Operational Data'!F37,"N/A")</f>
        <v>N/A</v>
      </c>
      <c r="G54" s="5" t="str">
        <f>IFERROR(G13*100/'Interim Operational Data'!G37,"N/A")</f>
        <v>N/A</v>
      </c>
      <c r="H54" s="5" t="str">
        <f>IFERROR(H13*100/'Interim Operational Data'!H37,"N/A")</f>
        <v>N/A</v>
      </c>
      <c r="I54" s="5" t="str">
        <f>IFERROR(I13*100/'Interim Operational Data'!I37,"N/A")</f>
        <v>N/A</v>
      </c>
      <c r="J54" s="5" t="str">
        <f>IFERROR(J13*100/'Interim Operational Data'!J37,"N/A")</f>
        <v>N/A</v>
      </c>
      <c r="K54" s="5" t="str">
        <f>IFERROR(K13*100/'Interim Operational Data'!K37,"N/A")</f>
        <v>N/A</v>
      </c>
      <c r="L54" s="5" t="str">
        <f>IFERROR(L13*100/'Interim Operational Data'!L37,"N/A")</f>
        <v>N/A</v>
      </c>
      <c r="M54" s="5" t="str">
        <f>IFERROR(M13*100/'Interim Operational Data'!M37,"N/A")</f>
        <v>N/A</v>
      </c>
      <c r="N54" s="5" t="str">
        <f>IFERROR(N13*100/'Interim Operational Data'!N37,"N/A")</f>
        <v>N/A</v>
      </c>
      <c r="O54" s="5" t="str">
        <f>IFERROR(O13*100/'Interim Operational Data'!O37,"N/A")</f>
        <v>N/A</v>
      </c>
      <c r="P54" s="5" t="str">
        <f>IFERROR(P13*100/'Interim Operational Data'!P37,"N/A")</f>
        <v>N/A</v>
      </c>
      <c r="Q54" s="5" t="str">
        <f>IFERROR(Q13*100/'Interim Operational Data'!Q37,"N/A")</f>
        <v>N/A</v>
      </c>
      <c r="R54" s="5" t="str">
        <f>IFERROR(R13*100/'Interim Operational Data'!R37,"N/A")</f>
        <v>N/A</v>
      </c>
      <c r="S54" s="5" t="str">
        <f>IFERROR(S13*100/'Interim Operational Data'!S37,"N/A")</f>
        <v>N/A</v>
      </c>
      <c r="T54" s="5" t="str">
        <f>IFERROR(T13*100/'Interim Operational Data'!T37,"N/A")</f>
        <v>N/A</v>
      </c>
      <c r="U54" s="5" t="str">
        <f>IFERROR(U13*100/'Interim Operational Data'!U37,"N/A")</f>
        <v>N/A</v>
      </c>
      <c r="V54" s="5" t="str">
        <f>IFERROR(V13*100/'Interim Operational Data'!V37,"N/A")</f>
        <v>N/A</v>
      </c>
      <c r="W54" s="5" t="str">
        <f>IFERROR(W13*100/'Interim Operational Data'!W37,"N/A")</f>
        <v>N/A</v>
      </c>
      <c r="X54" s="5" t="str">
        <f>IFERROR(X13*100/'Interim Operational Data'!X37,"N/A")</f>
        <v>N/A</v>
      </c>
      <c r="Y54" s="5" t="str">
        <f>IFERROR(Y13*100/'Interim Operational Data'!Y37,"N/A")</f>
        <v>N/A</v>
      </c>
    </row>
    <row r="55" spans="1:25" x14ac:dyDescent="0.3">
      <c r="A55" s="85" t="s">
        <v>0</v>
      </c>
      <c r="B55" s="61"/>
      <c r="C55" s="2" t="str">
        <f ca="1">IFERROR(IF(Inputs!$E$14 = "Semi-annual",(C54/OFFSET(C54,0,-2,,))-1,(C54/OFFSET(C54,0,-4,,))-1),"")</f>
        <v/>
      </c>
      <c r="D55" s="2" t="str">
        <f ca="1">IFERROR(IF(Inputs!$E$14 = "Semi-annual",(D54/OFFSET(D54,0,-2,,))-1,(D54/OFFSET(D54,0,-4,,))-1),"")</f>
        <v/>
      </c>
      <c r="E55" s="2" t="str">
        <f ca="1">IFERROR(IF(Inputs!$E$14 = "Semi-annual",(E54/OFFSET(E54,0,-2,,))-1,(E54/OFFSET(E54,0,-4,,))-1),"")</f>
        <v/>
      </c>
      <c r="F55" s="2" t="str">
        <f ca="1">IFERROR(IF(Inputs!$E$14 = "Semi-annual",(F54/OFFSET(F54,0,-2,,))-1,(F54/OFFSET(F54,0,-4,,))-1),"")</f>
        <v/>
      </c>
      <c r="G55" s="2" t="str">
        <f ca="1">IFERROR(IF(Inputs!$E$14 = "Semi-annual",(G54/OFFSET(G54,0,-2,,))-1,(G54/OFFSET(G54,0,-4,,))-1),"")</f>
        <v/>
      </c>
      <c r="H55" s="2" t="str">
        <f ca="1">IFERROR(IF(Inputs!$E$14 = "Semi-annual",(H54/OFFSET(H54,0,-2,,))-1,(H54/OFFSET(H54,0,-4,,))-1),"")</f>
        <v/>
      </c>
      <c r="I55" s="2" t="str">
        <f ca="1">IFERROR(IF(Inputs!$E$14 = "Semi-annual",(I54/OFFSET(I54,0,-2,,))-1,(I54/OFFSET(I54,0,-4,,))-1),"")</f>
        <v/>
      </c>
      <c r="J55" s="2" t="str">
        <f ca="1">IFERROR(IF(Inputs!$E$14 = "Semi-annual",(J54/OFFSET(J54,0,-2,,))-1,(J54/OFFSET(J54,0,-4,,))-1),"")</f>
        <v/>
      </c>
      <c r="K55" s="2" t="str">
        <f ca="1">IFERROR(IF(Inputs!$E$14 = "Semi-annual",(K54/OFFSET(K54,0,-2,,))-1,(K54/OFFSET(K54,0,-4,,))-1),"")</f>
        <v/>
      </c>
      <c r="L55" s="2" t="str">
        <f ca="1">IFERROR(IF(Inputs!$E$14 = "Semi-annual",(L54/OFFSET(L54,0,-2,,))-1,(L54/OFFSET(L54,0,-4,,))-1),"")</f>
        <v/>
      </c>
      <c r="M55" s="2" t="str">
        <f ca="1">IFERROR(IF(Inputs!$E$14 = "Semi-annual",(M54/OFFSET(M54,0,-2,,))-1,(M54/OFFSET(M54,0,-4,,))-1),"")</f>
        <v/>
      </c>
      <c r="N55" s="2" t="str">
        <f ca="1">IFERROR(IF(Inputs!$E$14 = "Semi-annual",(N54/OFFSET(N54,0,-2,,))-1,(N54/OFFSET(N54,0,-4,,))-1),"")</f>
        <v/>
      </c>
      <c r="O55" s="2" t="str">
        <f ca="1">IFERROR(IF(Inputs!$E$14 = "Semi-annual",(O54/OFFSET(O54,0,-2,,))-1,(O54/OFFSET(O54,0,-4,,))-1),"")</f>
        <v/>
      </c>
      <c r="P55" s="2" t="str">
        <f ca="1">IFERROR(IF(Inputs!$E$14 = "Semi-annual",(P54/OFFSET(P54,0,-2,,))-1,(P54/OFFSET(P54,0,-4,,))-1),"")</f>
        <v/>
      </c>
      <c r="Q55" s="2" t="str">
        <f ca="1">IFERROR(IF(Inputs!$E$14 = "Semi-annual",(Q54/OFFSET(Q54,0,-2,,))-1,(Q54/OFFSET(Q54,0,-4,,))-1),"")</f>
        <v/>
      </c>
      <c r="R55" s="2" t="str">
        <f ca="1">IFERROR(IF(Inputs!$E$14 = "Semi-annual",(R54/OFFSET(R54,0,-2,,))-1,(R54/OFFSET(R54,0,-4,,))-1),"")</f>
        <v/>
      </c>
      <c r="S55" s="2" t="str">
        <f ca="1">IFERROR(IF(Inputs!$E$14 = "Semi-annual",(S54/OFFSET(S54,0,-2,,))-1,(S54/OFFSET(S54,0,-4,,))-1),"")</f>
        <v/>
      </c>
      <c r="T55" s="2" t="str">
        <f ca="1">IFERROR(IF(Inputs!$E$14 = "Semi-annual",(T54/OFFSET(T54,0,-2,,))-1,(T54/OFFSET(T54,0,-4,,))-1),"")</f>
        <v/>
      </c>
      <c r="U55" s="2" t="str">
        <f ca="1">IFERROR(IF(Inputs!$E$14 = "Semi-annual",(U54/OFFSET(U54,0,-2,,))-1,(U54/OFFSET(U54,0,-4,,))-1),"")</f>
        <v/>
      </c>
      <c r="V55" s="2" t="str">
        <f ca="1">IFERROR(IF(Inputs!$E$14 = "Semi-annual",(V54/OFFSET(V54,0,-2,,))-1,(V54/OFFSET(V54,0,-4,,))-1),"")</f>
        <v/>
      </c>
      <c r="W55" s="2" t="str">
        <f ca="1">IFERROR(IF(Inputs!$E$14 = "Semi-annual",(W54/OFFSET(W54,0,-2,,))-1,(W54/OFFSET(W54,0,-4,,))-1),"")</f>
        <v/>
      </c>
      <c r="X55" s="2" t="str">
        <f ca="1">IFERROR(IF(Inputs!$E$14 = "Semi-annual",(X54/OFFSET(X54,0,-2,,))-1,(X54/OFFSET(X54,0,-4,,))-1),"")</f>
        <v/>
      </c>
      <c r="Y55" s="2" t="str">
        <f ca="1">IFERROR(IF(Inputs!$E$14 = "Semi-annual",(Y54/OFFSET(Y54,0,-2,,))-1,(Y54/OFFSET(Y54,0,-4,,))-1),"")</f>
        <v/>
      </c>
    </row>
    <row r="56" spans="1:25" x14ac:dyDescent="0.3">
      <c r="A56" s="8" t="str">
        <f>IF(Inputs!$E$10 = "miles", "Per RTM:", "Per RTK:")</f>
        <v>Per RTM:</v>
      </c>
      <c r="B56" s="10"/>
      <c r="C56" s="10"/>
      <c r="D56" s="10"/>
      <c r="E56" s="10"/>
      <c r="F56" s="10"/>
      <c r="G56" s="10"/>
      <c r="H56" s="10"/>
      <c r="I56" s="10"/>
      <c r="J56" s="10"/>
      <c r="K56" s="10"/>
      <c r="L56" s="10"/>
      <c r="M56" s="10"/>
      <c r="N56" s="10"/>
      <c r="O56" s="10"/>
      <c r="P56" s="10"/>
      <c r="Q56" s="10"/>
      <c r="R56" s="10"/>
      <c r="S56" s="10"/>
      <c r="T56" s="10"/>
      <c r="U56" s="10"/>
      <c r="V56" s="10"/>
      <c r="W56" s="10"/>
      <c r="X56" s="10"/>
      <c r="Y56" s="10"/>
    </row>
    <row r="57" spans="1:25" x14ac:dyDescent="0.3">
      <c r="A57" s="85" t="str">
        <f>("Passenger Revenue -: [cents/" &amp;'Annual Operational Data'!$A$43 &amp; "]")</f>
        <v>Passenger Revenue -: [cents/RTMs]</v>
      </c>
      <c r="B57" s="5" t="str">
        <f>IFERROR(B9*100/'Interim Operational Data'!B$43, "N/A")</f>
        <v>N/A</v>
      </c>
      <c r="C57" s="5" t="str">
        <f>IFERROR(C9*100/'Interim Operational Data'!C$43, "N/A")</f>
        <v>N/A</v>
      </c>
      <c r="D57" s="5" t="str">
        <f>IFERROR(D9*100/'Interim Operational Data'!D$43, "N/A")</f>
        <v>N/A</v>
      </c>
      <c r="E57" s="5" t="str">
        <f>IFERROR(E9*100/'Interim Operational Data'!E$43, "N/A")</f>
        <v>N/A</v>
      </c>
      <c r="F57" s="5" t="str">
        <f>IFERROR(F9*100/'Interim Operational Data'!F$43, "N/A")</f>
        <v>N/A</v>
      </c>
      <c r="G57" s="5" t="str">
        <f>IFERROR(G9*100/'Interim Operational Data'!G$43, "N/A")</f>
        <v>N/A</v>
      </c>
      <c r="H57" s="5" t="str">
        <f>IFERROR(H9*100/'Interim Operational Data'!H$43, "N/A")</f>
        <v>N/A</v>
      </c>
      <c r="I57" s="5" t="str">
        <f>IFERROR(I9*100/'Interim Operational Data'!I$43, "N/A")</f>
        <v>N/A</v>
      </c>
      <c r="J57" s="5" t="str">
        <f>IFERROR(J9*100/'Interim Operational Data'!J$43, "N/A")</f>
        <v>N/A</v>
      </c>
      <c r="K57" s="5" t="str">
        <f>IFERROR(K9*100/'Interim Operational Data'!K$43, "N/A")</f>
        <v>N/A</v>
      </c>
      <c r="L57" s="5" t="str">
        <f>IFERROR(L9*100/'Interim Operational Data'!L$43, "N/A")</f>
        <v>N/A</v>
      </c>
      <c r="M57" s="5" t="str">
        <f>IFERROR(M9*100/'Interim Operational Data'!M$43, "N/A")</f>
        <v>N/A</v>
      </c>
      <c r="N57" s="5" t="str">
        <f>IFERROR(N9*100/'Interim Operational Data'!N$43, "N/A")</f>
        <v>N/A</v>
      </c>
      <c r="O57" s="5" t="str">
        <f>IFERROR(O9*100/'Interim Operational Data'!O$43, "N/A")</f>
        <v>N/A</v>
      </c>
      <c r="P57" s="5" t="str">
        <f>IFERROR(P9*100/'Interim Operational Data'!P$43, "N/A")</f>
        <v>N/A</v>
      </c>
      <c r="Q57" s="5" t="str">
        <f>IFERROR(Q9*100/'Interim Operational Data'!Q$43, "N/A")</f>
        <v>N/A</v>
      </c>
      <c r="R57" s="5" t="str">
        <f>IFERROR(R9*100/'Interim Operational Data'!R$43, "N/A")</f>
        <v>N/A</v>
      </c>
      <c r="S57" s="5" t="str">
        <f>IFERROR(S9*100/'Interim Operational Data'!S$43, "N/A")</f>
        <v>N/A</v>
      </c>
      <c r="T57" s="5" t="str">
        <f>IFERROR(T9*100/'Interim Operational Data'!T$43, "N/A")</f>
        <v>N/A</v>
      </c>
      <c r="U57" s="5" t="str">
        <f>IFERROR(U9*100/'Interim Operational Data'!U$43, "N/A")</f>
        <v>N/A</v>
      </c>
      <c r="V57" s="5" t="str">
        <f>IFERROR(V9*100/'Interim Operational Data'!V$43, "N/A")</f>
        <v>N/A</v>
      </c>
      <c r="W57" s="5" t="str">
        <f>IFERROR(W9*100/'Interim Operational Data'!W$43, "N/A")</f>
        <v>N/A</v>
      </c>
      <c r="X57" s="5" t="str">
        <f>IFERROR(X9*100/'Interim Operational Data'!X$43, "N/A")</f>
        <v>N/A</v>
      </c>
      <c r="Y57" s="5" t="str">
        <f>IFERROR(Y9*100/'Interim Operational Data'!Y$43, "N/A")</f>
        <v>N/A</v>
      </c>
    </row>
    <row r="58" spans="1:25" x14ac:dyDescent="0.3">
      <c r="A58" s="85" t="s">
        <v>0</v>
      </c>
      <c r="B58" s="61"/>
      <c r="C58" s="61"/>
      <c r="D58" s="61"/>
      <c r="E58" s="61"/>
      <c r="F58" s="61"/>
      <c r="G58" s="61"/>
      <c r="H58" s="61"/>
      <c r="I58" s="61"/>
      <c r="J58" s="61"/>
      <c r="K58" s="61"/>
      <c r="L58" s="61"/>
      <c r="M58" s="61"/>
      <c r="N58" s="61"/>
      <c r="O58" s="61"/>
      <c r="P58" s="61"/>
      <c r="Q58" s="61"/>
      <c r="R58" s="61"/>
      <c r="S58" s="61"/>
      <c r="T58" s="61"/>
      <c r="U58" s="61"/>
      <c r="V58" s="61"/>
      <c r="W58" s="61"/>
      <c r="X58" s="61"/>
      <c r="Y58" s="61"/>
    </row>
    <row r="59" spans="1:25" x14ac:dyDescent="0.3">
      <c r="A59" s="85" t="str">
        <f>("Cargo Revenue -: [cents/"&amp;'Annual Operational Data'!$A$43 &amp; "]")</f>
        <v>Cargo Revenue -: [cents/RTMs]</v>
      </c>
      <c r="B59" s="5" t="str">
        <f>IFERROR(B13*100/'Interim Operational Data'!B$43, "N/A")</f>
        <v>N/A</v>
      </c>
      <c r="C59" s="5" t="str">
        <f>IFERROR(C13*100/'Interim Operational Data'!C$43, "N/A")</f>
        <v>N/A</v>
      </c>
      <c r="D59" s="5" t="str">
        <f>IFERROR(D13*100/'Interim Operational Data'!D$43, "N/A")</f>
        <v>N/A</v>
      </c>
      <c r="E59" s="5" t="str">
        <f>IFERROR(E13*100/'Interim Operational Data'!E$43, "N/A")</f>
        <v>N/A</v>
      </c>
      <c r="F59" s="5" t="str">
        <f>IFERROR(F13*100/'Interim Operational Data'!F$43, "N/A")</f>
        <v>N/A</v>
      </c>
      <c r="G59" s="5" t="str">
        <f>IFERROR(G13*100/'Interim Operational Data'!G$43, "N/A")</f>
        <v>N/A</v>
      </c>
      <c r="H59" s="5" t="str">
        <f>IFERROR(H13*100/'Interim Operational Data'!H$43, "N/A")</f>
        <v>N/A</v>
      </c>
      <c r="I59" s="5" t="str">
        <f>IFERROR(I13*100/'Interim Operational Data'!I$43, "N/A")</f>
        <v>N/A</v>
      </c>
      <c r="J59" s="5" t="str">
        <f>IFERROR(J13*100/'Interim Operational Data'!J$43, "N/A")</f>
        <v>N/A</v>
      </c>
      <c r="K59" s="5" t="str">
        <f>IFERROR(K13*100/'Interim Operational Data'!K$43, "N/A")</f>
        <v>N/A</v>
      </c>
      <c r="L59" s="5" t="str">
        <f>IFERROR(L13*100/'Interim Operational Data'!L$43, "N/A")</f>
        <v>N/A</v>
      </c>
      <c r="M59" s="5" t="str">
        <f>IFERROR(M13*100/'Interim Operational Data'!M$43, "N/A")</f>
        <v>N/A</v>
      </c>
      <c r="N59" s="5" t="str">
        <f>IFERROR(N13*100/'Interim Operational Data'!N$43, "N/A")</f>
        <v>N/A</v>
      </c>
      <c r="O59" s="5" t="str">
        <f>IFERROR(O13*100/'Interim Operational Data'!O$43, "N/A")</f>
        <v>N/A</v>
      </c>
      <c r="P59" s="5" t="str">
        <f>IFERROR(P13*100/'Interim Operational Data'!P$43, "N/A")</f>
        <v>N/A</v>
      </c>
      <c r="Q59" s="5" t="str">
        <f>IFERROR(Q13*100/'Interim Operational Data'!Q$43, "N/A")</f>
        <v>N/A</v>
      </c>
      <c r="R59" s="5" t="str">
        <f>IFERROR(R13*100/'Interim Operational Data'!R$43, "N/A")</f>
        <v>N/A</v>
      </c>
      <c r="S59" s="5" t="str">
        <f>IFERROR(S13*100/'Interim Operational Data'!S$43, "N/A")</f>
        <v>N/A</v>
      </c>
      <c r="T59" s="5" t="str">
        <f>IFERROR(T13*100/'Interim Operational Data'!T$43, "N/A")</f>
        <v>N/A</v>
      </c>
      <c r="U59" s="5" t="str">
        <f>IFERROR(U13*100/'Interim Operational Data'!U$43, "N/A")</f>
        <v>N/A</v>
      </c>
      <c r="V59" s="5" t="str">
        <f>IFERROR(V13*100/'Interim Operational Data'!V$43, "N/A")</f>
        <v>N/A</v>
      </c>
      <c r="W59" s="5" t="str">
        <f>IFERROR(W13*100/'Interim Operational Data'!W$43, "N/A")</f>
        <v>N/A</v>
      </c>
      <c r="X59" s="5" t="str">
        <f>IFERROR(X13*100/'Interim Operational Data'!X$43, "N/A")</f>
        <v>N/A</v>
      </c>
      <c r="Y59" s="5" t="str">
        <f>IFERROR(Y13*100/'Interim Operational Data'!Y$43, "N/A")</f>
        <v>N/A</v>
      </c>
    </row>
    <row r="60" spans="1:25" x14ac:dyDescent="0.3">
      <c r="A60" s="85" t="s">
        <v>0</v>
      </c>
      <c r="B60" s="61"/>
      <c r="C60" s="61"/>
      <c r="D60" s="61"/>
      <c r="E60" s="61"/>
      <c r="F60" s="61"/>
      <c r="G60" s="61"/>
      <c r="H60" s="61"/>
      <c r="I60" s="61"/>
      <c r="J60" s="61"/>
      <c r="K60" s="61"/>
      <c r="L60" s="61"/>
      <c r="M60" s="61"/>
      <c r="N60" s="61"/>
      <c r="O60" s="61"/>
      <c r="P60" s="61"/>
      <c r="Q60" s="61"/>
      <c r="R60" s="61"/>
      <c r="S60" s="61"/>
      <c r="T60" s="61"/>
      <c r="U60" s="61"/>
      <c r="V60" s="61"/>
      <c r="W60" s="61"/>
      <c r="X60" s="61"/>
      <c r="Y60" s="61"/>
    </row>
    <row r="61" spans="1:25" x14ac:dyDescent="0.3">
      <c r="A61" s="85" t="str">
        <f>("Other Revenue  -: [cents/"&amp;'Annual Operational Data'!$A$43&amp;"]")</f>
        <v>Other Revenue  -: [cents/RTMs]</v>
      </c>
      <c r="B61" s="5" t="str">
        <f>IFERROR(B15*100/'Interim Operational Data'!B$43, "N/A")</f>
        <v>N/A</v>
      </c>
      <c r="C61" s="5" t="str">
        <f>IFERROR(C15*100/'Interim Operational Data'!C$43, "N/A")</f>
        <v>N/A</v>
      </c>
      <c r="D61" s="5" t="str">
        <f>IFERROR(D15*100/'Interim Operational Data'!D$43, "N/A")</f>
        <v>N/A</v>
      </c>
      <c r="E61" s="5" t="str">
        <f>IFERROR(E15*100/'Interim Operational Data'!E$43, "N/A")</f>
        <v>N/A</v>
      </c>
      <c r="F61" s="5" t="str">
        <f>IFERROR(F15*100/'Interim Operational Data'!F$43, "N/A")</f>
        <v>N/A</v>
      </c>
      <c r="G61" s="5" t="str">
        <f>IFERROR(G15*100/'Interim Operational Data'!G$43, "N/A")</f>
        <v>N/A</v>
      </c>
      <c r="H61" s="5" t="str">
        <f>IFERROR(H15*100/'Interim Operational Data'!H$43, "N/A")</f>
        <v>N/A</v>
      </c>
      <c r="I61" s="5" t="str">
        <f>IFERROR(I15*100/'Interim Operational Data'!I$43, "N/A")</f>
        <v>N/A</v>
      </c>
      <c r="J61" s="5" t="str">
        <f>IFERROR(J15*100/'Interim Operational Data'!J$43, "N/A")</f>
        <v>N/A</v>
      </c>
      <c r="K61" s="5" t="str">
        <f>IFERROR(K15*100/'Interim Operational Data'!K$43, "N/A")</f>
        <v>N/A</v>
      </c>
      <c r="L61" s="5" t="str">
        <f>IFERROR(L15*100/'Interim Operational Data'!L$43, "N/A")</f>
        <v>N/A</v>
      </c>
      <c r="M61" s="5" t="str">
        <f>IFERROR(M15*100/'Interim Operational Data'!M$43, "N/A")</f>
        <v>N/A</v>
      </c>
      <c r="N61" s="5" t="str">
        <f>IFERROR(N15*100/'Interim Operational Data'!N$43, "N/A")</f>
        <v>N/A</v>
      </c>
      <c r="O61" s="5" t="str">
        <f>IFERROR(O15*100/'Interim Operational Data'!O$43, "N/A")</f>
        <v>N/A</v>
      </c>
      <c r="P61" s="5" t="str">
        <f>IFERROR(P15*100/'Interim Operational Data'!P$43, "N/A")</f>
        <v>N/A</v>
      </c>
      <c r="Q61" s="5" t="str">
        <f>IFERROR(Q15*100/'Interim Operational Data'!Q$43, "N/A")</f>
        <v>N/A</v>
      </c>
      <c r="R61" s="5" t="str">
        <f>IFERROR(R15*100/'Interim Operational Data'!R$43, "N/A")</f>
        <v>N/A</v>
      </c>
      <c r="S61" s="5" t="str">
        <f>IFERROR(S15*100/'Interim Operational Data'!S$43, "N/A")</f>
        <v>N/A</v>
      </c>
      <c r="T61" s="5" t="str">
        <f>IFERROR(T15*100/'Interim Operational Data'!T$43, "N/A")</f>
        <v>N/A</v>
      </c>
      <c r="U61" s="5" t="str">
        <f>IFERROR(U15*100/'Interim Operational Data'!U$43, "N/A")</f>
        <v>N/A</v>
      </c>
      <c r="V61" s="5" t="str">
        <f>IFERROR(V15*100/'Interim Operational Data'!V$43, "N/A")</f>
        <v>N/A</v>
      </c>
      <c r="W61" s="5" t="str">
        <f>IFERROR(W15*100/'Interim Operational Data'!W$43, "N/A")</f>
        <v>N/A</v>
      </c>
      <c r="X61" s="5" t="str">
        <f>IFERROR(X15*100/'Interim Operational Data'!X$43, "N/A")</f>
        <v>N/A</v>
      </c>
      <c r="Y61" s="5" t="str">
        <f>IFERROR(Y15*100/'Interim Operational Data'!Y$43, "N/A")</f>
        <v>N/A</v>
      </c>
    </row>
    <row r="62" spans="1:25" x14ac:dyDescent="0.3">
      <c r="A62" s="85" t="s">
        <v>0</v>
      </c>
      <c r="B62" s="61"/>
      <c r="C62" s="61"/>
      <c r="D62" s="61"/>
      <c r="E62" s="61"/>
      <c r="F62" s="61"/>
      <c r="G62" s="61"/>
      <c r="H62" s="61"/>
      <c r="I62" s="61"/>
      <c r="J62" s="61"/>
      <c r="K62" s="61"/>
      <c r="L62" s="61"/>
      <c r="M62" s="61"/>
      <c r="N62" s="61"/>
      <c r="O62" s="61"/>
      <c r="P62" s="61"/>
      <c r="Q62" s="61"/>
      <c r="R62" s="61"/>
      <c r="S62" s="61"/>
      <c r="T62" s="61"/>
      <c r="U62" s="61"/>
      <c r="V62" s="61"/>
      <c r="W62" s="61"/>
      <c r="X62" s="61"/>
      <c r="Y62" s="61"/>
    </row>
    <row r="63" spans="1:25" x14ac:dyDescent="0.3">
      <c r="A63" s="85" t="str">
        <f>("Total Cargo &amp; Other Revenue -: [cents/" &amp;'Annual Operational Data'!$A$43 &amp; "]")</f>
        <v>Total Cargo &amp; Other Revenue -: [cents/RTMs]</v>
      </c>
      <c r="B63" s="5" t="str">
        <f>IFERROR(B17*100/'Interim Operational Data'!B$43, "N/A")</f>
        <v>N/A</v>
      </c>
      <c r="C63" s="5" t="str">
        <f>IFERROR(C17*100/'Interim Operational Data'!C$43, "N/A")</f>
        <v>N/A</v>
      </c>
      <c r="D63" s="5" t="str">
        <f>IFERROR(D17*100/'Interim Operational Data'!D$43, "N/A")</f>
        <v>N/A</v>
      </c>
      <c r="E63" s="5" t="str">
        <f>IFERROR(E17*100/'Interim Operational Data'!E$43, "N/A")</f>
        <v>N/A</v>
      </c>
      <c r="F63" s="5" t="str">
        <f>IFERROR(F17*100/'Interim Operational Data'!F$43, "N/A")</f>
        <v>N/A</v>
      </c>
      <c r="G63" s="5" t="str">
        <f>IFERROR(G17*100/'Interim Operational Data'!G$43, "N/A")</f>
        <v>N/A</v>
      </c>
      <c r="H63" s="5" t="str">
        <f>IFERROR(H17*100/'Interim Operational Data'!H$43, "N/A")</f>
        <v>N/A</v>
      </c>
      <c r="I63" s="5" t="str">
        <f>IFERROR(I17*100/'Interim Operational Data'!I$43, "N/A")</f>
        <v>N/A</v>
      </c>
      <c r="J63" s="5" t="str">
        <f>IFERROR(J17*100/'Interim Operational Data'!J$43, "N/A")</f>
        <v>N/A</v>
      </c>
      <c r="K63" s="5" t="str">
        <f>IFERROR(K17*100/'Interim Operational Data'!K$43, "N/A")</f>
        <v>N/A</v>
      </c>
      <c r="L63" s="5" t="str">
        <f>IFERROR(L17*100/'Interim Operational Data'!L$43, "N/A")</f>
        <v>N/A</v>
      </c>
      <c r="M63" s="5" t="str">
        <f>IFERROR(M17*100/'Interim Operational Data'!M$43, "N/A")</f>
        <v>N/A</v>
      </c>
      <c r="N63" s="5" t="str">
        <f>IFERROR(N17*100/'Interim Operational Data'!N$43, "N/A")</f>
        <v>N/A</v>
      </c>
      <c r="O63" s="5" t="str">
        <f>IFERROR(O17*100/'Interim Operational Data'!O$43, "N/A")</f>
        <v>N/A</v>
      </c>
      <c r="P63" s="5" t="str">
        <f>IFERROR(P17*100/'Interim Operational Data'!P$43, "N/A")</f>
        <v>N/A</v>
      </c>
      <c r="Q63" s="5" t="str">
        <f>IFERROR(Q17*100/'Interim Operational Data'!Q$43, "N/A")</f>
        <v>N/A</v>
      </c>
      <c r="R63" s="5" t="str">
        <f>IFERROR(R17*100/'Interim Operational Data'!R$43, "N/A")</f>
        <v>N/A</v>
      </c>
      <c r="S63" s="5" t="str">
        <f>IFERROR(S17*100/'Interim Operational Data'!S$43, "N/A")</f>
        <v>N/A</v>
      </c>
      <c r="T63" s="5" t="str">
        <f>IFERROR(T17*100/'Interim Operational Data'!T$43, "N/A")</f>
        <v>N/A</v>
      </c>
      <c r="U63" s="5" t="str">
        <f>IFERROR(U17*100/'Interim Operational Data'!U$43, "N/A")</f>
        <v>N/A</v>
      </c>
      <c r="V63" s="5" t="str">
        <f>IFERROR(V17*100/'Interim Operational Data'!V$43, "N/A")</f>
        <v>N/A</v>
      </c>
      <c r="W63" s="5" t="str">
        <f>IFERROR(W17*100/'Interim Operational Data'!W$43, "N/A")</f>
        <v>N/A</v>
      </c>
      <c r="X63" s="5" t="str">
        <f>IFERROR(X17*100/'Interim Operational Data'!X$43, "N/A")</f>
        <v>N/A</v>
      </c>
      <c r="Y63" s="5" t="str">
        <f>IFERROR(Y17*100/'Interim Operational Data'!Y$43, "N/A")</f>
        <v>N/A</v>
      </c>
    </row>
    <row r="64" spans="1:25" x14ac:dyDescent="0.3">
      <c r="A64" s="85" t="s">
        <v>0</v>
      </c>
      <c r="B64" s="61"/>
      <c r="C64" s="61"/>
      <c r="D64" s="61"/>
      <c r="E64" s="61"/>
      <c r="F64" s="61"/>
      <c r="G64" s="61"/>
      <c r="H64" s="61"/>
      <c r="I64" s="61"/>
      <c r="J64" s="61"/>
      <c r="K64" s="61"/>
      <c r="L64" s="61"/>
      <c r="M64" s="61"/>
      <c r="N64" s="61"/>
      <c r="O64" s="61"/>
      <c r="P64" s="61"/>
      <c r="Q64" s="61"/>
      <c r="R64" s="61"/>
      <c r="S64" s="61"/>
      <c r="T64" s="61"/>
      <c r="U64" s="61"/>
      <c r="V64" s="61"/>
      <c r="W64" s="61"/>
      <c r="X64" s="61"/>
      <c r="Y64" s="61"/>
    </row>
    <row r="65" spans="1:25" x14ac:dyDescent="0.3">
      <c r="A65" s="14" t="str">
        <f>("Total Revenue -: [cents/"&amp;'Annual Operational Data'!$A$43 &amp; "]")</f>
        <v>Total Revenue -: [cents/RTMs]</v>
      </c>
      <c r="B65" s="6" t="str">
        <f>IFERROR(B19*100/'Interim Operational Data'!B$43, "N/A")</f>
        <v>N/A</v>
      </c>
      <c r="C65" s="6" t="str">
        <f>IFERROR(C19*100/'Interim Operational Data'!C$43, "N/A")</f>
        <v>N/A</v>
      </c>
      <c r="D65" s="6" t="str">
        <f>IFERROR(D19*100/'Interim Operational Data'!D$43, "N/A")</f>
        <v>N/A</v>
      </c>
      <c r="E65" s="6" t="str">
        <f>IFERROR(E19*100/'Interim Operational Data'!E$43, "N/A")</f>
        <v>N/A</v>
      </c>
      <c r="F65" s="6" t="str">
        <f>IFERROR(F19*100/'Interim Operational Data'!F$43, "N/A")</f>
        <v>N/A</v>
      </c>
      <c r="G65" s="6" t="str">
        <f>IFERROR(G19*100/'Interim Operational Data'!G$43, "N/A")</f>
        <v>N/A</v>
      </c>
      <c r="H65" s="6" t="str">
        <f>IFERROR(H19*100/'Interim Operational Data'!H$43, "N/A")</f>
        <v>N/A</v>
      </c>
      <c r="I65" s="6" t="str">
        <f>IFERROR(I19*100/'Interim Operational Data'!I$43, "N/A")</f>
        <v>N/A</v>
      </c>
      <c r="J65" s="6" t="str">
        <f>IFERROR(J19*100/'Interim Operational Data'!J$43, "N/A")</f>
        <v>N/A</v>
      </c>
      <c r="K65" s="6" t="str">
        <f>IFERROR(K19*100/'Interim Operational Data'!K$43, "N/A")</f>
        <v>N/A</v>
      </c>
      <c r="L65" s="6" t="str">
        <f>IFERROR(L19*100/'Interim Operational Data'!L$43, "N/A")</f>
        <v>N/A</v>
      </c>
      <c r="M65" s="6" t="str">
        <f>IFERROR(M19*100/'Interim Operational Data'!M$43, "N/A")</f>
        <v>N/A</v>
      </c>
      <c r="N65" s="6" t="str">
        <f>IFERROR(N19*100/'Interim Operational Data'!N$43, "N/A")</f>
        <v>N/A</v>
      </c>
      <c r="O65" s="6" t="str">
        <f>IFERROR(O19*100/'Interim Operational Data'!O$43, "N/A")</f>
        <v>N/A</v>
      </c>
      <c r="P65" s="6" t="str">
        <f>IFERROR(P19*100/'Interim Operational Data'!P$43, "N/A")</f>
        <v>N/A</v>
      </c>
      <c r="Q65" s="6" t="str">
        <f>IFERROR(Q19*100/'Interim Operational Data'!Q$43, "N/A")</f>
        <v>N/A</v>
      </c>
      <c r="R65" s="6" t="str">
        <f>IFERROR(R19*100/'Interim Operational Data'!R$43, "N/A")</f>
        <v>N/A</v>
      </c>
      <c r="S65" s="6" t="str">
        <f>IFERROR(S19*100/'Interim Operational Data'!S$43, "N/A")</f>
        <v>N/A</v>
      </c>
      <c r="T65" s="6" t="str">
        <f>IFERROR(T19*100/'Interim Operational Data'!T$43, "N/A")</f>
        <v>N/A</v>
      </c>
      <c r="U65" s="6" t="str">
        <f>IFERROR(U19*100/'Interim Operational Data'!U$43, "N/A")</f>
        <v>N/A</v>
      </c>
      <c r="V65" s="6" t="str">
        <f>IFERROR(V19*100/'Interim Operational Data'!V$43, "N/A")</f>
        <v>N/A</v>
      </c>
      <c r="W65" s="6" t="str">
        <f>IFERROR(W19*100/'Interim Operational Data'!W$43, "N/A")</f>
        <v>N/A</v>
      </c>
      <c r="X65" s="6" t="str">
        <f>IFERROR(X19*100/'Interim Operational Data'!X$43, "N/A")</f>
        <v>N/A</v>
      </c>
      <c r="Y65" s="6" t="str">
        <f>IFERROR(Y19*100/'Interim Operational Data'!Y$43, "N/A")</f>
        <v>N/A</v>
      </c>
    </row>
    <row r="66" spans="1:25" x14ac:dyDescent="0.3">
      <c r="A66" s="85" t="s">
        <v>0</v>
      </c>
      <c r="B66" s="61"/>
      <c r="C66" s="2" t="str">
        <f ca="1">IFERROR(IF(Inputs!$E$14 = "Semi-annual",(C65/OFFSET(C65,0,-2,,))-1,(C65/OFFSET(C65,0,-4,,))-1),"")</f>
        <v/>
      </c>
      <c r="D66" s="2" t="str">
        <f ca="1">IFERROR(IF(Inputs!$E$14 = "Semi-annual",(D65/OFFSET(D65,0,-2,,))-1,(D65/OFFSET(D65,0,-4,,))-1),"")</f>
        <v/>
      </c>
      <c r="E66" s="2" t="str">
        <f ca="1">IFERROR(IF(Inputs!$E$14 = "Semi-annual",(E65/OFFSET(E65,0,-2,,))-1,(E65/OFFSET(E65,0,-4,,))-1),"")</f>
        <v/>
      </c>
      <c r="F66" s="2" t="str">
        <f ca="1">IFERROR(IF(Inputs!$E$14 = "Semi-annual",(F65/OFFSET(F65,0,-2,,))-1,(F65/OFFSET(F65,0,-4,,))-1),"")</f>
        <v/>
      </c>
      <c r="G66" s="2" t="str">
        <f ca="1">IFERROR(IF(Inputs!$E$14 = "Semi-annual",(G65/OFFSET(G65,0,-2,,))-1,(G65/OFFSET(G65,0,-4,,))-1),"")</f>
        <v/>
      </c>
      <c r="H66" s="2" t="str">
        <f ca="1">IFERROR(IF(Inputs!$E$14 = "Semi-annual",(H65/OFFSET(H65,0,-2,,))-1,(H65/OFFSET(H65,0,-4,,))-1),"")</f>
        <v/>
      </c>
      <c r="I66" s="2" t="str">
        <f ca="1">IFERROR(IF(Inputs!$E$14 = "Semi-annual",(I65/OFFSET(I65,0,-2,,))-1,(I65/OFFSET(I65,0,-4,,))-1),"")</f>
        <v/>
      </c>
      <c r="J66" s="2" t="str">
        <f ca="1">IFERROR(IF(Inputs!$E$14 = "Semi-annual",(J65/OFFSET(J65,0,-2,,))-1,(J65/OFFSET(J65,0,-4,,))-1),"")</f>
        <v/>
      </c>
      <c r="K66" s="2" t="str">
        <f ca="1">IFERROR(IF(Inputs!$E$14 = "Semi-annual",(K65/OFFSET(K65,0,-2,,))-1,(K65/OFFSET(K65,0,-4,,))-1),"")</f>
        <v/>
      </c>
      <c r="L66" s="2" t="str">
        <f ca="1">IFERROR(IF(Inputs!$E$14 = "Semi-annual",(L65/OFFSET(L65,0,-2,,))-1,(L65/OFFSET(L65,0,-4,,))-1),"")</f>
        <v/>
      </c>
      <c r="M66" s="2" t="str">
        <f ca="1">IFERROR(IF(Inputs!$E$14 = "Semi-annual",(M65/OFFSET(M65,0,-2,,))-1,(M65/OFFSET(M65,0,-4,,))-1),"")</f>
        <v/>
      </c>
      <c r="N66" s="2" t="str">
        <f ca="1">IFERROR(IF(Inputs!$E$14 = "Semi-annual",(N65/OFFSET(N65,0,-2,,))-1,(N65/OFFSET(N65,0,-4,,))-1),"")</f>
        <v/>
      </c>
      <c r="O66" s="2" t="str">
        <f ca="1">IFERROR(IF(Inputs!$E$14 = "Semi-annual",(O65/OFFSET(O65,0,-2,,))-1,(O65/OFFSET(O65,0,-4,,))-1),"")</f>
        <v/>
      </c>
      <c r="P66" s="2" t="str">
        <f ca="1">IFERROR(IF(Inputs!$E$14 = "Semi-annual",(P65/OFFSET(P65,0,-2,,))-1,(P65/OFFSET(P65,0,-4,,))-1),"")</f>
        <v/>
      </c>
      <c r="Q66" s="2" t="str">
        <f ca="1">IFERROR(IF(Inputs!$E$14 = "Semi-annual",(Q65/OFFSET(Q65,0,-2,,))-1,(Q65/OFFSET(Q65,0,-4,,))-1),"")</f>
        <v/>
      </c>
      <c r="R66" s="2" t="str">
        <f ca="1">IFERROR(IF(Inputs!$E$14 = "Semi-annual",(R65/OFFSET(R65,0,-2,,))-1,(R65/OFFSET(R65,0,-4,,))-1),"")</f>
        <v/>
      </c>
      <c r="S66" s="2" t="str">
        <f ca="1">IFERROR(IF(Inputs!$E$14 = "Semi-annual",(S65/OFFSET(S65,0,-2,,))-1,(S65/OFFSET(S65,0,-4,,))-1),"")</f>
        <v/>
      </c>
      <c r="T66" s="2" t="str">
        <f ca="1">IFERROR(IF(Inputs!$E$14 = "Semi-annual",(T65/OFFSET(T65,0,-2,,))-1,(T65/OFFSET(T65,0,-4,,))-1),"")</f>
        <v/>
      </c>
      <c r="U66" s="2" t="str">
        <f ca="1">IFERROR(IF(Inputs!$E$14 = "Semi-annual",(U65/OFFSET(U65,0,-2,,))-1,(U65/OFFSET(U65,0,-4,,))-1),"")</f>
        <v/>
      </c>
      <c r="V66" s="2" t="str">
        <f ca="1">IFERROR(IF(Inputs!$E$14 = "Semi-annual",(V65/OFFSET(V65,0,-2,,))-1,(V65/OFFSET(V65,0,-4,,))-1),"")</f>
        <v/>
      </c>
      <c r="W66" s="2" t="str">
        <f ca="1">IFERROR(IF(Inputs!$E$14 = "Semi-annual",(W65/OFFSET(W65,0,-2,,))-1,(W65/OFFSET(W65,0,-4,,))-1),"")</f>
        <v/>
      </c>
      <c r="X66" s="2" t="str">
        <f ca="1">IFERROR(IF(Inputs!$E$14 = "Semi-annual",(X65/OFFSET(X65,0,-2,,))-1,(X65/OFFSET(X65,0,-4,,))-1),"")</f>
        <v/>
      </c>
      <c r="Y66" s="2" t="str">
        <f ca="1">IFERROR(IF(Inputs!$E$14 = "Semi-annual",(Y65/OFFSET(Y65,0,-2,,))-1,(Y65/OFFSET(Y65,0,-4,,))-1),"")</f>
        <v/>
      </c>
    </row>
    <row r="67" spans="1:25" x14ac:dyDescent="0.3">
      <c r="A67" s="8" t="str">
        <f>IF(Inputs!$E$10 = "miles", "Per ATM:", "Per ATK:")</f>
        <v>Per ATM:</v>
      </c>
      <c r="B67" s="10"/>
      <c r="C67" s="10"/>
      <c r="D67" s="10"/>
      <c r="E67" s="10"/>
      <c r="F67" s="10"/>
      <c r="G67" s="10"/>
      <c r="H67" s="10"/>
      <c r="I67" s="10"/>
      <c r="J67" s="10"/>
      <c r="K67" s="10"/>
      <c r="L67" s="10"/>
      <c r="M67" s="10"/>
      <c r="N67" s="10"/>
      <c r="O67" s="10"/>
      <c r="P67" s="10"/>
      <c r="Q67" s="10"/>
      <c r="R67" s="10"/>
      <c r="S67" s="10"/>
      <c r="T67" s="10"/>
      <c r="U67" s="10"/>
      <c r="V67" s="10"/>
      <c r="W67" s="10"/>
      <c r="X67" s="10"/>
      <c r="Y67" s="10"/>
    </row>
    <row r="68" spans="1:25" x14ac:dyDescent="0.3">
      <c r="A68" s="85" t="str">
        <f>("Passenger Revenue -: [cents/" &amp;'Annual Operational Data'!$A$45 &amp; "]")</f>
        <v>Passenger Revenue -: [cents/ATMs]</v>
      </c>
      <c r="B68" s="5" t="str">
        <f>IFERROR(B9*100/'Interim Operational Data'!B$45, "N/A")</f>
        <v>N/A</v>
      </c>
      <c r="C68" s="5" t="str">
        <f>IFERROR(C9*100/'Interim Operational Data'!C$45, "N/A")</f>
        <v>N/A</v>
      </c>
      <c r="D68" s="5" t="str">
        <f>IFERROR(D9*100/'Interim Operational Data'!D$45, "N/A")</f>
        <v>N/A</v>
      </c>
      <c r="E68" s="5" t="str">
        <f>IFERROR(E9*100/'Interim Operational Data'!E$45, "N/A")</f>
        <v>N/A</v>
      </c>
      <c r="F68" s="5" t="str">
        <f>IFERROR(F9*100/'Interim Operational Data'!F$45, "N/A")</f>
        <v>N/A</v>
      </c>
      <c r="G68" s="5" t="str">
        <f>IFERROR(G9*100/'Interim Operational Data'!G$45, "N/A")</f>
        <v>N/A</v>
      </c>
      <c r="H68" s="5" t="str">
        <f>IFERROR(H9*100/'Interim Operational Data'!H$45, "N/A")</f>
        <v>N/A</v>
      </c>
      <c r="I68" s="5" t="str">
        <f>IFERROR(I9*100/'Interim Operational Data'!I$45, "N/A")</f>
        <v>N/A</v>
      </c>
      <c r="J68" s="5" t="str">
        <f>IFERROR(J9*100/'Interim Operational Data'!J$45, "N/A")</f>
        <v>N/A</v>
      </c>
      <c r="K68" s="5" t="str">
        <f>IFERROR(K9*100/'Interim Operational Data'!K$45, "N/A")</f>
        <v>N/A</v>
      </c>
      <c r="L68" s="5" t="str">
        <f>IFERROR(L9*100/'Interim Operational Data'!L$45, "N/A")</f>
        <v>N/A</v>
      </c>
      <c r="M68" s="5" t="str">
        <f>IFERROR(M9*100/'Interim Operational Data'!M$45, "N/A")</f>
        <v>N/A</v>
      </c>
      <c r="N68" s="5" t="str">
        <f>IFERROR(N9*100/'Interim Operational Data'!N$45, "N/A")</f>
        <v>N/A</v>
      </c>
      <c r="O68" s="5" t="str">
        <f>IFERROR(O9*100/'Interim Operational Data'!O$45, "N/A")</f>
        <v>N/A</v>
      </c>
      <c r="P68" s="5" t="str">
        <f>IFERROR(P9*100/'Interim Operational Data'!P$45, "N/A")</f>
        <v>N/A</v>
      </c>
      <c r="Q68" s="5" t="str">
        <f>IFERROR(Q9*100/'Interim Operational Data'!Q$45, "N/A")</f>
        <v>N/A</v>
      </c>
      <c r="R68" s="5" t="str">
        <f>IFERROR(R9*100/'Interim Operational Data'!R$45, "N/A")</f>
        <v>N/A</v>
      </c>
      <c r="S68" s="5" t="str">
        <f>IFERROR(S9*100/'Interim Operational Data'!S$45, "N/A")</f>
        <v>N/A</v>
      </c>
      <c r="T68" s="5" t="str">
        <f>IFERROR(T9*100/'Interim Operational Data'!T$45, "N/A")</f>
        <v>N/A</v>
      </c>
      <c r="U68" s="5" t="str">
        <f>IFERROR(U9*100/'Interim Operational Data'!U$45, "N/A")</f>
        <v>N/A</v>
      </c>
      <c r="V68" s="5" t="str">
        <f>IFERROR(V9*100/'Interim Operational Data'!V$45, "N/A")</f>
        <v>N/A</v>
      </c>
      <c r="W68" s="5" t="str">
        <f>IFERROR(W9*100/'Interim Operational Data'!W$45, "N/A")</f>
        <v>N/A</v>
      </c>
      <c r="X68" s="5" t="str">
        <f>IFERROR(X9*100/'Interim Operational Data'!X$45, "N/A")</f>
        <v>N/A</v>
      </c>
      <c r="Y68" s="5" t="str">
        <f>IFERROR(Y9*100/'Interim Operational Data'!Y$45, "N/A")</f>
        <v>N/A</v>
      </c>
    </row>
    <row r="69" spans="1:25" x14ac:dyDescent="0.3">
      <c r="A69" s="85" t="s">
        <v>0</v>
      </c>
      <c r="B69" s="2"/>
      <c r="C69" s="2"/>
      <c r="D69" s="2"/>
      <c r="E69" s="2"/>
      <c r="F69" s="2"/>
      <c r="G69" s="2"/>
      <c r="H69" s="2"/>
      <c r="I69" s="2"/>
      <c r="J69" s="2"/>
      <c r="K69" s="2"/>
      <c r="L69" s="2"/>
      <c r="M69" s="2"/>
      <c r="N69" s="2"/>
      <c r="O69" s="2"/>
      <c r="P69" s="2"/>
      <c r="Q69" s="2"/>
      <c r="R69" s="2"/>
      <c r="S69" s="2"/>
      <c r="T69" s="2"/>
      <c r="U69" s="2"/>
      <c r="V69" s="2"/>
      <c r="W69" s="2"/>
      <c r="X69" s="2"/>
      <c r="Y69" s="2"/>
    </row>
    <row r="70" spans="1:25" x14ac:dyDescent="0.3">
      <c r="A70" s="85" t="str">
        <f>("Cargo Revenue -: [cents/"&amp;'Annual Operational Data'!$A$45 &amp; "]")</f>
        <v>Cargo Revenue -: [cents/ATMs]</v>
      </c>
      <c r="B70" s="5" t="str">
        <f>IFERROR(B13*100/'Interim Operational Data'!B$45, "N/A")</f>
        <v>N/A</v>
      </c>
      <c r="C70" s="5" t="str">
        <f>IFERROR(C13*100/'Interim Operational Data'!C$45, "N/A")</f>
        <v>N/A</v>
      </c>
      <c r="D70" s="5" t="str">
        <f>IFERROR(D13*100/'Interim Operational Data'!D$45, "N/A")</f>
        <v>N/A</v>
      </c>
      <c r="E70" s="5" t="str">
        <f>IFERROR(E13*100/'Interim Operational Data'!E$45, "N/A")</f>
        <v>N/A</v>
      </c>
      <c r="F70" s="5" t="str">
        <f>IFERROR(F13*100/'Interim Operational Data'!F$45, "N/A")</f>
        <v>N/A</v>
      </c>
      <c r="G70" s="5" t="str">
        <f>IFERROR(G13*100/'Interim Operational Data'!G$45, "N/A")</f>
        <v>N/A</v>
      </c>
      <c r="H70" s="5" t="str">
        <f>IFERROR(H13*100/'Interim Operational Data'!H$45, "N/A")</f>
        <v>N/A</v>
      </c>
      <c r="I70" s="5" t="str">
        <f>IFERROR(I13*100/'Interim Operational Data'!I$45, "N/A")</f>
        <v>N/A</v>
      </c>
      <c r="J70" s="5" t="str">
        <f>IFERROR(J13*100/'Interim Operational Data'!J$45, "N/A")</f>
        <v>N/A</v>
      </c>
      <c r="K70" s="5" t="str">
        <f>IFERROR(K13*100/'Interim Operational Data'!K$45, "N/A")</f>
        <v>N/A</v>
      </c>
      <c r="L70" s="5" t="str">
        <f>IFERROR(L13*100/'Interim Operational Data'!L$45, "N/A")</f>
        <v>N/A</v>
      </c>
      <c r="M70" s="5" t="str">
        <f>IFERROR(M13*100/'Interim Operational Data'!M$45, "N/A")</f>
        <v>N/A</v>
      </c>
      <c r="N70" s="5" t="str">
        <f>IFERROR(N13*100/'Interim Operational Data'!N$45, "N/A")</f>
        <v>N/A</v>
      </c>
      <c r="O70" s="5" t="str">
        <f>IFERROR(O13*100/'Interim Operational Data'!O$45, "N/A")</f>
        <v>N/A</v>
      </c>
      <c r="P70" s="5" t="str">
        <f>IFERROR(P13*100/'Interim Operational Data'!P$45, "N/A")</f>
        <v>N/A</v>
      </c>
      <c r="Q70" s="5" t="str">
        <f>IFERROR(Q13*100/'Interim Operational Data'!Q$45, "N/A")</f>
        <v>N/A</v>
      </c>
      <c r="R70" s="5" t="str">
        <f>IFERROR(R13*100/'Interim Operational Data'!R$45, "N/A")</f>
        <v>N/A</v>
      </c>
      <c r="S70" s="5" t="str">
        <f>IFERROR(S13*100/'Interim Operational Data'!S$45, "N/A")</f>
        <v>N/A</v>
      </c>
      <c r="T70" s="5" t="str">
        <f>IFERROR(T13*100/'Interim Operational Data'!T$45, "N/A")</f>
        <v>N/A</v>
      </c>
      <c r="U70" s="5" t="str">
        <f>IFERROR(U13*100/'Interim Operational Data'!U$45, "N/A")</f>
        <v>N/A</v>
      </c>
      <c r="V70" s="5" t="str">
        <f>IFERROR(V13*100/'Interim Operational Data'!V$45, "N/A")</f>
        <v>N/A</v>
      </c>
      <c r="W70" s="5" t="str">
        <f>IFERROR(W13*100/'Interim Operational Data'!W$45, "N/A")</f>
        <v>N/A</v>
      </c>
      <c r="X70" s="5" t="str">
        <f>IFERROR(X13*100/'Interim Operational Data'!X$45, "N/A")</f>
        <v>N/A</v>
      </c>
      <c r="Y70" s="5" t="str">
        <f>IFERROR(Y13*100/'Interim Operational Data'!Y$45, "N/A")</f>
        <v>N/A</v>
      </c>
    </row>
    <row r="71" spans="1:25" x14ac:dyDescent="0.3">
      <c r="A71" s="85" t="s">
        <v>0</v>
      </c>
      <c r="B71" s="2"/>
      <c r="C71" s="2"/>
      <c r="D71" s="2"/>
      <c r="E71" s="2"/>
      <c r="F71" s="2"/>
      <c r="G71" s="2"/>
      <c r="H71" s="2"/>
      <c r="I71" s="2"/>
      <c r="J71" s="2"/>
      <c r="K71" s="2"/>
      <c r="L71" s="2"/>
      <c r="M71" s="2"/>
      <c r="N71" s="2"/>
      <c r="O71" s="2"/>
      <c r="P71" s="2"/>
      <c r="Q71" s="2"/>
      <c r="R71" s="2"/>
      <c r="S71" s="2"/>
      <c r="T71" s="2"/>
      <c r="U71" s="2"/>
      <c r="V71" s="2"/>
      <c r="W71" s="2"/>
      <c r="X71" s="2"/>
      <c r="Y71" s="2"/>
    </row>
    <row r="72" spans="1:25" x14ac:dyDescent="0.3">
      <c r="A72" s="85" t="str">
        <f>("Other Revenue  -: [cents/"&amp;'Annual Operational Data'!$A$45&amp;"]")</f>
        <v>Other Revenue  -: [cents/ATMs]</v>
      </c>
      <c r="B72" s="5" t="str">
        <f>IFERROR(B15*100/'Interim Operational Data'!B$45, "N/A")</f>
        <v>N/A</v>
      </c>
      <c r="C72" s="5" t="str">
        <f>IFERROR(C15*100/'Interim Operational Data'!C$45, "N/A")</f>
        <v>N/A</v>
      </c>
      <c r="D72" s="5" t="str">
        <f>IFERROR(D15*100/'Interim Operational Data'!D$45, "N/A")</f>
        <v>N/A</v>
      </c>
      <c r="E72" s="5" t="str">
        <f>IFERROR(E15*100/'Interim Operational Data'!E$45, "N/A")</f>
        <v>N/A</v>
      </c>
      <c r="F72" s="5" t="str">
        <f>IFERROR(F15*100/'Interim Operational Data'!F$45, "N/A")</f>
        <v>N/A</v>
      </c>
      <c r="G72" s="5" t="str">
        <f>IFERROR(G15*100/'Interim Operational Data'!G$45, "N/A")</f>
        <v>N/A</v>
      </c>
      <c r="H72" s="5" t="str">
        <f>IFERROR(H15*100/'Interim Operational Data'!H$45, "N/A")</f>
        <v>N/A</v>
      </c>
      <c r="I72" s="5" t="str">
        <f>IFERROR(I15*100/'Interim Operational Data'!I$45, "N/A")</f>
        <v>N/A</v>
      </c>
      <c r="J72" s="5" t="str">
        <f>IFERROR(J15*100/'Interim Operational Data'!J$45, "N/A")</f>
        <v>N/A</v>
      </c>
      <c r="K72" s="5" t="str">
        <f>IFERROR(K15*100/'Interim Operational Data'!K$45, "N/A")</f>
        <v>N/A</v>
      </c>
      <c r="L72" s="5" t="str">
        <f>IFERROR(L15*100/'Interim Operational Data'!L$45, "N/A")</f>
        <v>N/A</v>
      </c>
      <c r="M72" s="5" t="str">
        <f>IFERROR(M15*100/'Interim Operational Data'!M$45, "N/A")</f>
        <v>N/A</v>
      </c>
      <c r="N72" s="5" t="str">
        <f>IFERROR(N15*100/'Interim Operational Data'!N$45, "N/A")</f>
        <v>N/A</v>
      </c>
      <c r="O72" s="5" t="str">
        <f>IFERROR(O15*100/'Interim Operational Data'!O$45, "N/A")</f>
        <v>N/A</v>
      </c>
      <c r="P72" s="5" t="str">
        <f>IFERROR(P15*100/'Interim Operational Data'!P$45, "N/A")</f>
        <v>N/A</v>
      </c>
      <c r="Q72" s="5" t="str">
        <f>IFERROR(Q15*100/'Interim Operational Data'!Q$45, "N/A")</f>
        <v>N/A</v>
      </c>
      <c r="R72" s="5" t="str">
        <f>IFERROR(R15*100/'Interim Operational Data'!R$45, "N/A")</f>
        <v>N/A</v>
      </c>
      <c r="S72" s="5" t="str">
        <f>IFERROR(S15*100/'Interim Operational Data'!S$45, "N/A")</f>
        <v>N/A</v>
      </c>
      <c r="T72" s="5" t="str">
        <f>IFERROR(T15*100/'Interim Operational Data'!T$45, "N/A")</f>
        <v>N/A</v>
      </c>
      <c r="U72" s="5" t="str">
        <f>IFERROR(U15*100/'Interim Operational Data'!U$45, "N/A")</f>
        <v>N/A</v>
      </c>
      <c r="V72" s="5" t="str">
        <f>IFERROR(V15*100/'Interim Operational Data'!V$45, "N/A")</f>
        <v>N/A</v>
      </c>
      <c r="W72" s="5" t="str">
        <f>IFERROR(W15*100/'Interim Operational Data'!W$45, "N/A")</f>
        <v>N/A</v>
      </c>
      <c r="X72" s="5" t="str">
        <f>IFERROR(X15*100/'Interim Operational Data'!X$45, "N/A")</f>
        <v>N/A</v>
      </c>
      <c r="Y72" s="5" t="str">
        <f>IFERROR(Y15*100/'Interim Operational Data'!Y$45, "N/A")</f>
        <v>N/A</v>
      </c>
    </row>
    <row r="73" spans="1:25" x14ac:dyDescent="0.3">
      <c r="A73" s="85" t="s">
        <v>0</v>
      </c>
      <c r="B73" s="2"/>
      <c r="C73" s="2"/>
      <c r="D73" s="2"/>
      <c r="E73" s="2"/>
      <c r="F73" s="2"/>
      <c r="G73" s="2"/>
      <c r="H73" s="2"/>
      <c r="I73" s="2"/>
      <c r="J73" s="2"/>
      <c r="K73" s="2"/>
      <c r="L73" s="2"/>
      <c r="M73" s="2"/>
      <c r="N73" s="2"/>
      <c r="O73" s="2"/>
      <c r="P73" s="2"/>
      <c r="Q73" s="2"/>
      <c r="R73" s="2"/>
      <c r="S73" s="2"/>
      <c r="T73" s="2"/>
      <c r="U73" s="2"/>
      <c r="V73" s="2"/>
      <c r="W73" s="2"/>
      <c r="X73" s="2"/>
      <c r="Y73" s="2"/>
    </row>
    <row r="74" spans="1:25" x14ac:dyDescent="0.3">
      <c r="A74" s="85" t="str">
        <f>("Total Cargo &amp; Other Revenue -: [cents/" &amp;'Annual Operational Data'!$A$45 &amp; "]")</f>
        <v>Total Cargo &amp; Other Revenue -: [cents/ATMs]</v>
      </c>
      <c r="B74" s="5" t="str">
        <f>IFERROR(B17*100/'Interim Operational Data'!B$45, "N/A")</f>
        <v>N/A</v>
      </c>
      <c r="C74" s="5" t="str">
        <f>IFERROR(C17*100/'Interim Operational Data'!C$45, "N/A")</f>
        <v>N/A</v>
      </c>
      <c r="D74" s="5" t="str">
        <f>IFERROR(D17*100/'Interim Operational Data'!D$45, "N/A")</f>
        <v>N/A</v>
      </c>
      <c r="E74" s="5" t="str">
        <f>IFERROR(E17*100/'Interim Operational Data'!E$45, "N/A")</f>
        <v>N/A</v>
      </c>
      <c r="F74" s="5" t="str">
        <f>IFERROR(F17*100/'Interim Operational Data'!F$45, "N/A")</f>
        <v>N/A</v>
      </c>
      <c r="G74" s="5" t="str">
        <f>IFERROR(G17*100/'Interim Operational Data'!G$45, "N/A")</f>
        <v>N/A</v>
      </c>
      <c r="H74" s="5" t="str">
        <f>IFERROR(H17*100/'Interim Operational Data'!H$45, "N/A")</f>
        <v>N/A</v>
      </c>
      <c r="I74" s="5" t="str">
        <f>IFERROR(I17*100/'Interim Operational Data'!I$45, "N/A")</f>
        <v>N/A</v>
      </c>
      <c r="J74" s="5" t="str">
        <f>IFERROR(J17*100/'Interim Operational Data'!J$45, "N/A")</f>
        <v>N/A</v>
      </c>
      <c r="K74" s="5" t="str">
        <f>IFERROR(K17*100/'Interim Operational Data'!K$45, "N/A")</f>
        <v>N/A</v>
      </c>
      <c r="L74" s="5" t="str">
        <f>IFERROR(L17*100/'Interim Operational Data'!L$45, "N/A")</f>
        <v>N/A</v>
      </c>
      <c r="M74" s="5" t="str">
        <f>IFERROR(M17*100/'Interim Operational Data'!M$45, "N/A")</f>
        <v>N/A</v>
      </c>
      <c r="N74" s="5" t="str">
        <f>IFERROR(N17*100/'Interim Operational Data'!N$45, "N/A")</f>
        <v>N/A</v>
      </c>
      <c r="O74" s="5" t="str">
        <f>IFERROR(O17*100/'Interim Operational Data'!O$45, "N/A")</f>
        <v>N/A</v>
      </c>
      <c r="P74" s="5" t="str">
        <f>IFERROR(P17*100/'Interim Operational Data'!P$45, "N/A")</f>
        <v>N/A</v>
      </c>
      <c r="Q74" s="5" t="str">
        <f>IFERROR(Q17*100/'Interim Operational Data'!Q$45, "N/A")</f>
        <v>N/A</v>
      </c>
      <c r="R74" s="5" t="str">
        <f>IFERROR(R17*100/'Interim Operational Data'!R$45, "N/A")</f>
        <v>N/A</v>
      </c>
      <c r="S74" s="5" t="str">
        <f>IFERROR(S17*100/'Interim Operational Data'!S$45, "N/A")</f>
        <v>N/A</v>
      </c>
      <c r="T74" s="5" t="str">
        <f>IFERROR(T17*100/'Interim Operational Data'!T$45, "N/A")</f>
        <v>N/A</v>
      </c>
      <c r="U74" s="5" t="str">
        <f>IFERROR(U17*100/'Interim Operational Data'!U$45, "N/A")</f>
        <v>N/A</v>
      </c>
      <c r="V74" s="5" t="str">
        <f>IFERROR(V17*100/'Interim Operational Data'!V$45, "N/A")</f>
        <v>N/A</v>
      </c>
      <c r="W74" s="5" t="str">
        <f>IFERROR(W17*100/'Interim Operational Data'!W$45, "N/A")</f>
        <v>N/A</v>
      </c>
      <c r="X74" s="5" t="str">
        <f>IFERROR(X17*100/'Interim Operational Data'!X$45, "N/A")</f>
        <v>N/A</v>
      </c>
      <c r="Y74" s="5" t="str">
        <f>IFERROR(Y17*100/'Interim Operational Data'!Y$45, "N/A")</f>
        <v>N/A</v>
      </c>
    </row>
    <row r="75" spans="1:25" x14ac:dyDescent="0.3">
      <c r="A75" s="85" t="s">
        <v>0</v>
      </c>
      <c r="B75" s="2"/>
      <c r="C75" s="2"/>
      <c r="D75" s="2"/>
      <c r="E75" s="2"/>
      <c r="F75" s="2"/>
      <c r="G75" s="2"/>
      <c r="H75" s="2"/>
      <c r="I75" s="2"/>
      <c r="J75" s="2"/>
      <c r="K75" s="2"/>
      <c r="L75" s="2"/>
      <c r="M75" s="2"/>
      <c r="N75" s="2"/>
      <c r="O75" s="2"/>
      <c r="P75" s="2"/>
      <c r="Q75" s="2"/>
      <c r="R75" s="2"/>
      <c r="S75" s="2"/>
      <c r="T75" s="2"/>
      <c r="U75" s="2"/>
      <c r="V75" s="2"/>
      <c r="W75" s="2"/>
      <c r="X75" s="2"/>
      <c r="Y75" s="2"/>
    </row>
    <row r="76" spans="1:25" x14ac:dyDescent="0.3">
      <c r="A76" s="14" t="str">
        <f>("Total Revenue -: [cents/"&amp;'Annual Operational Data'!$A$45 &amp; "]")</f>
        <v>Total Revenue -: [cents/ATMs]</v>
      </c>
      <c r="B76" s="6" t="str">
        <f>IFERROR(B19*100/'Interim Operational Data'!B$45, "N/A")</f>
        <v>N/A</v>
      </c>
      <c r="C76" s="6" t="str">
        <f>IFERROR(C19*100/'Interim Operational Data'!C$45, "N/A")</f>
        <v>N/A</v>
      </c>
      <c r="D76" s="6" t="str">
        <f>IFERROR(D19*100/'Interim Operational Data'!D$45, "N/A")</f>
        <v>N/A</v>
      </c>
      <c r="E76" s="6" t="str">
        <f>IFERROR(E19*100/'Interim Operational Data'!E$45, "N/A")</f>
        <v>N/A</v>
      </c>
      <c r="F76" s="6" t="str">
        <f>IFERROR(F19*100/'Interim Operational Data'!F$45, "N/A")</f>
        <v>N/A</v>
      </c>
      <c r="G76" s="6" t="str">
        <f>IFERROR(G19*100/'Interim Operational Data'!G$45, "N/A")</f>
        <v>N/A</v>
      </c>
      <c r="H76" s="6" t="str">
        <f>IFERROR(H19*100/'Interim Operational Data'!H$45, "N/A")</f>
        <v>N/A</v>
      </c>
      <c r="I76" s="6" t="str">
        <f>IFERROR(I19*100/'Interim Operational Data'!I$45, "N/A")</f>
        <v>N/A</v>
      </c>
      <c r="J76" s="6" t="str">
        <f>IFERROR(J19*100/'Interim Operational Data'!J$45, "N/A")</f>
        <v>N/A</v>
      </c>
      <c r="K76" s="6" t="str">
        <f>IFERROR(K19*100/'Interim Operational Data'!K$45, "N/A")</f>
        <v>N/A</v>
      </c>
      <c r="L76" s="6" t="str">
        <f>IFERROR(L19*100/'Interim Operational Data'!L$45, "N/A")</f>
        <v>N/A</v>
      </c>
      <c r="M76" s="6" t="str">
        <f>IFERROR(M19*100/'Interim Operational Data'!M$45, "N/A")</f>
        <v>N/A</v>
      </c>
      <c r="N76" s="6" t="str">
        <f>IFERROR(N19*100/'Interim Operational Data'!N$45, "N/A")</f>
        <v>N/A</v>
      </c>
      <c r="O76" s="6" t="str">
        <f>IFERROR(O19*100/'Interim Operational Data'!O$45, "N/A")</f>
        <v>N/A</v>
      </c>
      <c r="P76" s="6" t="str">
        <f>IFERROR(P19*100/'Interim Operational Data'!P$45, "N/A")</f>
        <v>N/A</v>
      </c>
      <c r="Q76" s="6" t="str">
        <f>IFERROR(Q19*100/'Interim Operational Data'!Q$45, "N/A")</f>
        <v>N/A</v>
      </c>
      <c r="R76" s="6" t="str">
        <f>IFERROR(R19*100/'Interim Operational Data'!R$45, "N/A")</f>
        <v>N/A</v>
      </c>
      <c r="S76" s="6" t="str">
        <f>IFERROR(S19*100/'Interim Operational Data'!S$45, "N/A")</f>
        <v>N/A</v>
      </c>
      <c r="T76" s="6" t="str">
        <f>IFERROR(T19*100/'Interim Operational Data'!T$45, "N/A")</f>
        <v>N/A</v>
      </c>
      <c r="U76" s="6" t="str">
        <f>IFERROR(U19*100/'Interim Operational Data'!U$45, "N/A")</f>
        <v>N/A</v>
      </c>
      <c r="V76" s="6" t="str">
        <f>IFERROR(V19*100/'Interim Operational Data'!V$45, "N/A")</f>
        <v>N/A</v>
      </c>
      <c r="W76" s="6" t="str">
        <f>IFERROR(W19*100/'Interim Operational Data'!W$45, "N/A")</f>
        <v>N/A</v>
      </c>
      <c r="X76" s="6" t="str">
        <f>IFERROR(X19*100/'Interim Operational Data'!X$45, "N/A")</f>
        <v>N/A</v>
      </c>
      <c r="Y76" s="6" t="str">
        <f>IFERROR(Y19*100/'Interim Operational Data'!Y$45, "N/A")</f>
        <v>N/A</v>
      </c>
    </row>
    <row r="77" spans="1:25" x14ac:dyDescent="0.3">
      <c r="A77" s="85" t="s">
        <v>0</v>
      </c>
      <c r="B77" s="2"/>
      <c r="C77" s="2" t="str">
        <f ca="1">IFERROR(IF(Inputs!$E$14 = "Semi-annual",(C76/OFFSET(C76,0,-2,,))-1,(C76/OFFSET(C76,0,-4,,))-1),"")</f>
        <v/>
      </c>
      <c r="D77" s="2" t="str">
        <f ca="1">IFERROR(IF(Inputs!$E$14 = "Semi-annual",(D76/OFFSET(D76,0,-2,,))-1,(D76/OFFSET(D76,0,-4,,))-1),"")</f>
        <v/>
      </c>
      <c r="E77" s="2" t="str">
        <f ca="1">IFERROR(IF(Inputs!$E$14 = "Semi-annual",(E76/OFFSET(E76,0,-2,,))-1,(E76/OFFSET(E76,0,-4,,))-1),"")</f>
        <v/>
      </c>
      <c r="F77" s="2" t="str">
        <f ca="1">IFERROR(IF(Inputs!$E$14 = "Semi-annual",(F76/OFFSET(F76,0,-2,,))-1,(F76/OFFSET(F76,0,-4,,))-1),"")</f>
        <v/>
      </c>
      <c r="G77" s="2" t="str">
        <f ca="1">IFERROR(IF(Inputs!$E$14 = "Semi-annual",(G76/OFFSET(G76,0,-2,,))-1,(G76/OFFSET(G76,0,-4,,))-1),"")</f>
        <v/>
      </c>
      <c r="H77" s="2" t="str">
        <f ca="1">IFERROR(IF(Inputs!$E$14 = "Semi-annual",(H76/OFFSET(H76,0,-2,,))-1,(H76/OFFSET(H76,0,-4,,))-1),"")</f>
        <v/>
      </c>
      <c r="I77" s="2" t="str">
        <f ca="1">IFERROR(IF(Inputs!$E$14 = "Semi-annual",(I76/OFFSET(I76,0,-2,,))-1,(I76/OFFSET(I76,0,-4,,))-1),"")</f>
        <v/>
      </c>
      <c r="J77" s="2" t="str">
        <f ca="1">IFERROR(IF(Inputs!$E$14 = "Semi-annual",(J76/OFFSET(J76,0,-2,,))-1,(J76/OFFSET(J76,0,-4,,))-1),"")</f>
        <v/>
      </c>
      <c r="K77" s="2" t="str">
        <f ca="1">IFERROR(IF(Inputs!$E$14 = "Semi-annual",(K76/OFFSET(K76,0,-2,,))-1,(K76/OFFSET(K76,0,-4,,))-1),"")</f>
        <v/>
      </c>
      <c r="L77" s="2" t="str">
        <f ca="1">IFERROR(IF(Inputs!$E$14 = "Semi-annual",(L76/OFFSET(L76,0,-2,,))-1,(L76/OFFSET(L76,0,-4,,))-1),"")</f>
        <v/>
      </c>
      <c r="M77" s="2" t="str">
        <f ca="1">IFERROR(IF(Inputs!$E$14 = "Semi-annual",(M76/OFFSET(M76,0,-2,,))-1,(M76/OFFSET(M76,0,-4,,))-1),"")</f>
        <v/>
      </c>
      <c r="N77" s="2" t="str">
        <f ca="1">IFERROR(IF(Inputs!$E$14 = "Semi-annual",(N76/OFFSET(N76,0,-2,,))-1,(N76/OFFSET(N76,0,-4,,))-1),"")</f>
        <v/>
      </c>
      <c r="O77" s="2" t="str">
        <f ca="1">IFERROR(IF(Inputs!$E$14 = "Semi-annual",(O76/OFFSET(O76,0,-2,,))-1,(O76/OFFSET(O76,0,-4,,))-1),"")</f>
        <v/>
      </c>
      <c r="P77" s="2" t="str">
        <f ca="1">IFERROR(IF(Inputs!$E$14 = "Semi-annual",(P76/OFFSET(P76,0,-2,,))-1,(P76/OFFSET(P76,0,-4,,))-1),"")</f>
        <v/>
      </c>
      <c r="Q77" s="2" t="str">
        <f ca="1">IFERROR(IF(Inputs!$E$14 = "Semi-annual",(Q76/OFFSET(Q76,0,-2,,))-1,(Q76/OFFSET(Q76,0,-4,,))-1),"")</f>
        <v/>
      </c>
      <c r="R77" s="2" t="str">
        <f ca="1">IFERROR(IF(Inputs!$E$14 = "Semi-annual",(R76/OFFSET(R76,0,-2,,))-1,(R76/OFFSET(R76,0,-4,,))-1),"")</f>
        <v/>
      </c>
      <c r="S77" s="2" t="str">
        <f ca="1">IFERROR(IF(Inputs!$E$14 = "Semi-annual",(S76/OFFSET(S76,0,-2,,))-1,(S76/OFFSET(S76,0,-4,,))-1),"")</f>
        <v/>
      </c>
      <c r="T77" s="2" t="str">
        <f ca="1">IFERROR(IF(Inputs!$E$14 = "Semi-annual",(T76/OFFSET(T76,0,-2,,))-1,(T76/OFFSET(T76,0,-4,,))-1),"")</f>
        <v/>
      </c>
      <c r="U77" s="2" t="str">
        <f ca="1">IFERROR(IF(Inputs!$E$14 = "Semi-annual",(U76/OFFSET(U76,0,-2,,))-1,(U76/OFFSET(U76,0,-4,,))-1),"")</f>
        <v/>
      </c>
      <c r="V77" s="2" t="str">
        <f ca="1">IFERROR(IF(Inputs!$E$14 = "Semi-annual",(V76/OFFSET(V76,0,-2,,))-1,(V76/OFFSET(V76,0,-4,,))-1),"")</f>
        <v/>
      </c>
      <c r="W77" s="2" t="str">
        <f ca="1">IFERROR(IF(Inputs!$E$14 = "Semi-annual",(W76/OFFSET(W76,0,-2,,))-1,(W76/OFFSET(W76,0,-4,,))-1),"")</f>
        <v/>
      </c>
      <c r="X77" s="2" t="str">
        <f ca="1">IFERROR(IF(Inputs!$E$14 = "Semi-annual",(X76/OFFSET(X76,0,-2,,))-1,(X76/OFFSET(X76,0,-4,,))-1),"")</f>
        <v/>
      </c>
      <c r="Y77" s="2" t="str">
        <f ca="1">IFERROR(IF(Inputs!$E$14 = "Semi-annual",(Y76/OFFSET(Y76,0,-2,,))-1,(Y76/OFFSET(Y76,0,-4,,))-1),"")</f>
        <v/>
      </c>
    </row>
    <row r="78" spans="1:25" x14ac:dyDescent="0.3">
      <c r="A78" s="8" t="s">
        <v>261</v>
      </c>
      <c r="B78" s="10"/>
      <c r="C78" s="10"/>
      <c r="D78" s="10"/>
      <c r="E78" s="10"/>
      <c r="F78" s="10"/>
      <c r="G78" s="10"/>
      <c r="H78" s="10"/>
      <c r="I78" s="10"/>
      <c r="J78" s="10"/>
      <c r="K78" s="10"/>
      <c r="L78" s="10"/>
      <c r="M78" s="10"/>
      <c r="N78" s="10"/>
      <c r="O78" s="10"/>
      <c r="P78" s="10"/>
      <c r="Q78" s="10"/>
      <c r="R78" s="10"/>
      <c r="S78" s="10"/>
      <c r="T78" s="10"/>
      <c r="U78" s="10"/>
      <c r="V78" s="10"/>
      <c r="W78" s="10"/>
      <c r="X78" s="10"/>
      <c r="Y78" s="10"/>
    </row>
    <row r="79" spans="1:25" x14ac:dyDescent="0.3">
      <c r="A79" s="14" t="s">
        <v>260</v>
      </c>
      <c r="B79" s="5"/>
      <c r="C79" s="5"/>
      <c r="D79" s="5"/>
      <c r="E79" s="5"/>
      <c r="F79" s="5"/>
      <c r="G79" s="5"/>
      <c r="H79" s="5"/>
      <c r="I79" s="5"/>
      <c r="J79" s="5"/>
      <c r="K79" s="5"/>
      <c r="L79" s="5"/>
      <c r="M79" s="5"/>
      <c r="N79" s="5"/>
      <c r="O79" s="5"/>
      <c r="P79" s="5"/>
      <c r="Q79" s="5"/>
      <c r="R79" s="5"/>
      <c r="S79" s="5"/>
      <c r="T79" s="5"/>
      <c r="U79" s="5"/>
      <c r="V79" s="5"/>
      <c r="W79" s="5"/>
      <c r="X79" s="5"/>
      <c r="Y79" s="5"/>
    </row>
    <row r="80" spans="1:25" x14ac:dyDescent="0.3">
      <c r="A80" s="85" t="s">
        <v>618</v>
      </c>
      <c r="B80" s="70">
        <f>IFERROR('Interim Revenue Analysis'!B81/'Interim Revenue Analysis US$'!B$7, "N/A")</f>
        <v>0</v>
      </c>
      <c r="C80" s="70">
        <f>IFERROR('Interim Revenue Analysis'!C81/'Interim Revenue Analysis US$'!C$7, "N/A")</f>
        <v>0</v>
      </c>
      <c r="D80" s="70">
        <f>IFERROR('Interim Revenue Analysis'!D81/'Interim Revenue Analysis US$'!D$7, "N/A")</f>
        <v>0</v>
      </c>
      <c r="E80" s="70">
        <f>IFERROR('Interim Revenue Analysis'!E81/'Interim Revenue Analysis US$'!E$7, "N/A")</f>
        <v>0</v>
      </c>
      <c r="F80" s="70">
        <f>IFERROR('Interim Revenue Analysis'!F81/'Interim Revenue Analysis US$'!F$7, "N/A")</f>
        <v>0</v>
      </c>
      <c r="G80" s="70">
        <f>IFERROR('Interim Revenue Analysis'!G81/'Interim Revenue Analysis US$'!G$7, "N/A")</f>
        <v>0</v>
      </c>
      <c r="H80" s="70">
        <f>IFERROR('Interim Revenue Analysis'!H81/'Interim Revenue Analysis US$'!H$7, "N/A")</f>
        <v>0</v>
      </c>
      <c r="I80" s="70">
        <f>IFERROR('Interim Revenue Analysis'!I81/'Interim Revenue Analysis US$'!I$7, "N/A")</f>
        <v>0</v>
      </c>
      <c r="J80" s="70">
        <f>IFERROR('Interim Revenue Analysis'!J81/'Interim Revenue Analysis US$'!J$7, "N/A")</f>
        <v>0</v>
      </c>
      <c r="K80" s="70">
        <f>IFERROR('Interim Revenue Analysis'!K81/'Interim Revenue Analysis US$'!K$7, "N/A")</f>
        <v>0</v>
      </c>
      <c r="L80" s="70">
        <f>IFERROR('Interim Revenue Analysis'!L81/'Interim Revenue Analysis US$'!L$7, "N/A")</f>
        <v>0</v>
      </c>
      <c r="M80" s="70">
        <f>IFERROR('Interim Revenue Analysis'!M81/'Interim Revenue Analysis US$'!M$7, "N/A")</f>
        <v>0</v>
      </c>
      <c r="N80" s="70">
        <f>IFERROR('Interim Revenue Analysis'!N81/'Interim Revenue Analysis US$'!N$7, "N/A")</f>
        <v>0</v>
      </c>
      <c r="O80" s="70">
        <f>IFERROR('Interim Revenue Analysis'!O81/'Interim Revenue Analysis US$'!O$7, "N/A")</f>
        <v>0</v>
      </c>
      <c r="P80" s="70">
        <f>IFERROR('Interim Revenue Analysis'!P81/'Interim Revenue Analysis US$'!P$7, "N/A")</f>
        <v>0</v>
      </c>
      <c r="Q80" s="70">
        <f>IFERROR('Interim Revenue Analysis'!Q81/'Interim Revenue Analysis US$'!Q$7, "N/A")</f>
        <v>0</v>
      </c>
      <c r="R80" s="70">
        <f>IFERROR('Interim Revenue Analysis'!R81/'Interim Revenue Analysis US$'!R$7, "N/A")</f>
        <v>0</v>
      </c>
      <c r="S80" s="70">
        <f>IFERROR('Interim Revenue Analysis'!S81/'Interim Revenue Analysis US$'!S$7, "N/A")</f>
        <v>0</v>
      </c>
      <c r="T80" s="70">
        <f>IFERROR('Interim Revenue Analysis'!T81/'Interim Revenue Analysis US$'!T$7, "N/A")</f>
        <v>0</v>
      </c>
      <c r="U80" s="70">
        <f>IFERROR('Interim Revenue Analysis'!U81/'Interim Revenue Analysis US$'!U$7, "N/A")</f>
        <v>0</v>
      </c>
      <c r="V80" s="70">
        <f>IFERROR('Interim Revenue Analysis'!V81/'Interim Revenue Analysis US$'!V$7, "N/A")</f>
        <v>0</v>
      </c>
      <c r="W80" s="70">
        <f>IFERROR('Interim Revenue Analysis'!W81/'Interim Revenue Analysis US$'!W$7, "N/A")</f>
        <v>0</v>
      </c>
      <c r="X80" s="70">
        <f>IFERROR('Interim Revenue Analysis'!X81/'Interim Revenue Analysis US$'!X$7, "N/A")</f>
        <v>0</v>
      </c>
      <c r="Y80" s="70">
        <f>IFERROR('Interim Revenue Analysis'!Y81/'Interim Revenue Analysis US$'!Y$7, "N/A")</f>
        <v>0</v>
      </c>
    </row>
    <row r="81" spans="1:25" x14ac:dyDescent="0.3">
      <c r="A81" s="85" t="s">
        <v>618</v>
      </c>
      <c r="B81" s="70">
        <f>IFERROR('Interim Revenue Analysis'!B82/'Interim Revenue Analysis US$'!B$7, "N/A")</f>
        <v>0</v>
      </c>
      <c r="C81" s="70">
        <f>IFERROR('Interim Revenue Analysis'!C82/'Interim Revenue Analysis US$'!C$7, "N/A")</f>
        <v>0</v>
      </c>
      <c r="D81" s="70">
        <f>IFERROR('Interim Revenue Analysis'!D82/'Interim Revenue Analysis US$'!D$7, "N/A")</f>
        <v>0</v>
      </c>
      <c r="E81" s="70">
        <f>IFERROR('Interim Revenue Analysis'!E82/'Interim Revenue Analysis US$'!E$7, "N/A")</f>
        <v>0</v>
      </c>
      <c r="F81" s="70">
        <f>IFERROR('Interim Revenue Analysis'!F82/'Interim Revenue Analysis US$'!F$7, "N/A")</f>
        <v>0</v>
      </c>
      <c r="G81" s="70">
        <f>IFERROR('Interim Revenue Analysis'!G82/'Interim Revenue Analysis US$'!G$7, "N/A")</f>
        <v>0</v>
      </c>
      <c r="H81" s="70">
        <f>IFERROR('Interim Revenue Analysis'!H82/'Interim Revenue Analysis US$'!H$7, "N/A")</f>
        <v>0</v>
      </c>
      <c r="I81" s="70">
        <f>IFERROR('Interim Revenue Analysis'!I82/'Interim Revenue Analysis US$'!I$7, "N/A")</f>
        <v>0</v>
      </c>
      <c r="J81" s="70">
        <f>IFERROR('Interim Revenue Analysis'!J82/'Interim Revenue Analysis US$'!J$7, "N/A")</f>
        <v>0</v>
      </c>
      <c r="K81" s="70">
        <f>IFERROR('Interim Revenue Analysis'!K82/'Interim Revenue Analysis US$'!K$7, "N/A")</f>
        <v>0</v>
      </c>
      <c r="L81" s="70">
        <f>IFERROR('Interim Revenue Analysis'!L82/'Interim Revenue Analysis US$'!L$7, "N/A")</f>
        <v>0</v>
      </c>
      <c r="M81" s="70">
        <f>IFERROR('Interim Revenue Analysis'!M82/'Interim Revenue Analysis US$'!M$7, "N/A")</f>
        <v>0</v>
      </c>
      <c r="N81" s="70">
        <f>IFERROR('Interim Revenue Analysis'!N82/'Interim Revenue Analysis US$'!N$7, "N/A")</f>
        <v>0</v>
      </c>
      <c r="O81" s="70">
        <f>IFERROR('Interim Revenue Analysis'!O82/'Interim Revenue Analysis US$'!O$7, "N/A")</f>
        <v>0</v>
      </c>
      <c r="P81" s="70">
        <f>IFERROR('Interim Revenue Analysis'!P82/'Interim Revenue Analysis US$'!P$7, "N/A")</f>
        <v>0</v>
      </c>
      <c r="Q81" s="70">
        <f>IFERROR('Interim Revenue Analysis'!Q82/'Interim Revenue Analysis US$'!Q$7, "N/A")</f>
        <v>0</v>
      </c>
      <c r="R81" s="70">
        <f>IFERROR('Interim Revenue Analysis'!R82/'Interim Revenue Analysis US$'!R$7, "N/A")</f>
        <v>0</v>
      </c>
      <c r="S81" s="70">
        <f>IFERROR('Interim Revenue Analysis'!S82/'Interim Revenue Analysis US$'!S$7, "N/A")</f>
        <v>0</v>
      </c>
      <c r="T81" s="70">
        <f>IFERROR('Interim Revenue Analysis'!T82/'Interim Revenue Analysis US$'!T$7, "N/A")</f>
        <v>0</v>
      </c>
      <c r="U81" s="70">
        <f>IFERROR('Interim Revenue Analysis'!U82/'Interim Revenue Analysis US$'!U$7, "N/A")</f>
        <v>0</v>
      </c>
      <c r="V81" s="70">
        <f>IFERROR('Interim Revenue Analysis'!V82/'Interim Revenue Analysis US$'!V$7, "N/A")</f>
        <v>0</v>
      </c>
      <c r="W81" s="70">
        <f>IFERROR('Interim Revenue Analysis'!W82/'Interim Revenue Analysis US$'!W$7, "N/A")</f>
        <v>0</v>
      </c>
      <c r="X81" s="70">
        <f>IFERROR('Interim Revenue Analysis'!X82/'Interim Revenue Analysis US$'!X$7, "N/A")</f>
        <v>0</v>
      </c>
      <c r="Y81" s="70">
        <f>IFERROR('Interim Revenue Analysis'!Y82/'Interim Revenue Analysis US$'!Y$7, "N/A")</f>
        <v>0</v>
      </c>
    </row>
    <row r="82" spans="1:25" x14ac:dyDescent="0.3">
      <c r="A82" s="85" t="s">
        <v>618</v>
      </c>
      <c r="B82" s="70">
        <f>IFERROR('Interim Revenue Analysis'!B83/'Interim Revenue Analysis US$'!B$7, "N/A")</f>
        <v>0</v>
      </c>
      <c r="C82" s="70">
        <f>IFERROR('Interim Revenue Analysis'!C83/'Interim Revenue Analysis US$'!C$7, "N/A")</f>
        <v>0</v>
      </c>
      <c r="D82" s="70">
        <f>IFERROR('Interim Revenue Analysis'!D83/'Interim Revenue Analysis US$'!D$7, "N/A")</f>
        <v>0</v>
      </c>
      <c r="E82" s="70">
        <f>IFERROR('Interim Revenue Analysis'!E83/'Interim Revenue Analysis US$'!E$7, "N/A")</f>
        <v>0</v>
      </c>
      <c r="F82" s="70">
        <f>IFERROR('Interim Revenue Analysis'!F83/'Interim Revenue Analysis US$'!F$7, "N/A")</f>
        <v>0</v>
      </c>
      <c r="G82" s="70">
        <f>IFERROR('Interim Revenue Analysis'!G83/'Interim Revenue Analysis US$'!G$7, "N/A")</f>
        <v>0</v>
      </c>
      <c r="H82" s="70">
        <f>IFERROR('Interim Revenue Analysis'!H83/'Interim Revenue Analysis US$'!H$7, "N/A")</f>
        <v>0</v>
      </c>
      <c r="I82" s="70">
        <f>IFERROR('Interim Revenue Analysis'!I83/'Interim Revenue Analysis US$'!I$7, "N/A")</f>
        <v>0</v>
      </c>
      <c r="J82" s="70">
        <f>IFERROR('Interim Revenue Analysis'!J83/'Interim Revenue Analysis US$'!J$7, "N/A")</f>
        <v>0</v>
      </c>
      <c r="K82" s="70">
        <f>IFERROR('Interim Revenue Analysis'!K83/'Interim Revenue Analysis US$'!K$7, "N/A")</f>
        <v>0</v>
      </c>
      <c r="L82" s="70">
        <f>IFERROR('Interim Revenue Analysis'!L83/'Interim Revenue Analysis US$'!L$7, "N/A")</f>
        <v>0</v>
      </c>
      <c r="M82" s="70">
        <f>IFERROR('Interim Revenue Analysis'!M83/'Interim Revenue Analysis US$'!M$7, "N/A")</f>
        <v>0</v>
      </c>
      <c r="N82" s="70">
        <f>IFERROR('Interim Revenue Analysis'!N83/'Interim Revenue Analysis US$'!N$7, "N/A")</f>
        <v>0</v>
      </c>
      <c r="O82" s="70">
        <f>IFERROR('Interim Revenue Analysis'!O83/'Interim Revenue Analysis US$'!O$7, "N/A")</f>
        <v>0</v>
      </c>
      <c r="P82" s="70">
        <f>IFERROR('Interim Revenue Analysis'!P83/'Interim Revenue Analysis US$'!P$7, "N/A")</f>
        <v>0</v>
      </c>
      <c r="Q82" s="70">
        <f>IFERROR('Interim Revenue Analysis'!Q83/'Interim Revenue Analysis US$'!Q$7, "N/A")</f>
        <v>0</v>
      </c>
      <c r="R82" s="70">
        <f>IFERROR('Interim Revenue Analysis'!R83/'Interim Revenue Analysis US$'!R$7, "N/A")</f>
        <v>0</v>
      </c>
      <c r="S82" s="70">
        <f>IFERROR('Interim Revenue Analysis'!S83/'Interim Revenue Analysis US$'!S$7, "N/A")</f>
        <v>0</v>
      </c>
      <c r="T82" s="70">
        <f>IFERROR('Interim Revenue Analysis'!T83/'Interim Revenue Analysis US$'!T$7, "N/A")</f>
        <v>0</v>
      </c>
      <c r="U82" s="70">
        <f>IFERROR('Interim Revenue Analysis'!U83/'Interim Revenue Analysis US$'!U$7, "N/A")</f>
        <v>0</v>
      </c>
      <c r="V82" s="70">
        <f>IFERROR('Interim Revenue Analysis'!V83/'Interim Revenue Analysis US$'!V$7, "N/A")</f>
        <v>0</v>
      </c>
      <c r="W82" s="70">
        <f>IFERROR('Interim Revenue Analysis'!W83/'Interim Revenue Analysis US$'!W$7, "N/A")</f>
        <v>0</v>
      </c>
      <c r="X82" s="70">
        <f>IFERROR('Interim Revenue Analysis'!X83/'Interim Revenue Analysis US$'!X$7, "N/A")</f>
        <v>0</v>
      </c>
      <c r="Y82" s="70">
        <f>IFERROR('Interim Revenue Analysis'!Y83/'Interim Revenue Analysis US$'!Y$7, "N/A")</f>
        <v>0</v>
      </c>
    </row>
    <row r="83" spans="1:25" x14ac:dyDescent="0.3">
      <c r="A83" s="85" t="s">
        <v>618</v>
      </c>
      <c r="B83" s="70">
        <f>IFERROR('Interim Revenue Analysis'!B84/'Interim Revenue Analysis US$'!B$7, "N/A")</f>
        <v>0</v>
      </c>
      <c r="C83" s="70">
        <f>IFERROR('Interim Revenue Analysis'!C84/'Interim Revenue Analysis US$'!C$7, "N/A")</f>
        <v>0</v>
      </c>
      <c r="D83" s="70">
        <f>IFERROR('Interim Revenue Analysis'!D84/'Interim Revenue Analysis US$'!D$7, "N/A")</f>
        <v>0</v>
      </c>
      <c r="E83" s="70">
        <f>IFERROR('Interim Revenue Analysis'!E84/'Interim Revenue Analysis US$'!E$7, "N/A")</f>
        <v>0</v>
      </c>
      <c r="F83" s="70">
        <f>IFERROR('Interim Revenue Analysis'!F84/'Interim Revenue Analysis US$'!F$7, "N/A")</f>
        <v>0</v>
      </c>
      <c r="G83" s="70">
        <f>IFERROR('Interim Revenue Analysis'!G84/'Interim Revenue Analysis US$'!G$7, "N/A")</f>
        <v>0</v>
      </c>
      <c r="H83" s="70">
        <f>IFERROR('Interim Revenue Analysis'!H84/'Interim Revenue Analysis US$'!H$7, "N/A")</f>
        <v>0</v>
      </c>
      <c r="I83" s="70">
        <f>IFERROR('Interim Revenue Analysis'!I84/'Interim Revenue Analysis US$'!I$7, "N/A")</f>
        <v>0</v>
      </c>
      <c r="J83" s="70">
        <f>IFERROR('Interim Revenue Analysis'!J84/'Interim Revenue Analysis US$'!J$7, "N/A")</f>
        <v>0</v>
      </c>
      <c r="K83" s="70">
        <f>IFERROR('Interim Revenue Analysis'!K84/'Interim Revenue Analysis US$'!K$7, "N/A")</f>
        <v>0</v>
      </c>
      <c r="L83" s="70">
        <f>IFERROR('Interim Revenue Analysis'!L84/'Interim Revenue Analysis US$'!L$7, "N/A")</f>
        <v>0</v>
      </c>
      <c r="M83" s="70">
        <f>IFERROR('Interim Revenue Analysis'!M84/'Interim Revenue Analysis US$'!M$7, "N/A")</f>
        <v>0</v>
      </c>
      <c r="N83" s="70">
        <f>IFERROR('Interim Revenue Analysis'!N84/'Interim Revenue Analysis US$'!N$7, "N/A")</f>
        <v>0</v>
      </c>
      <c r="O83" s="70">
        <f>IFERROR('Interim Revenue Analysis'!O84/'Interim Revenue Analysis US$'!O$7, "N/A")</f>
        <v>0</v>
      </c>
      <c r="P83" s="70">
        <f>IFERROR('Interim Revenue Analysis'!P84/'Interim Revenue Analysis US$'!P$7, "N/A")</f>
        <v>0</v>
      </c>
      <c r="Q83" s="70">
        <f>IFERROR('Interim Revenue Analysis'!Q84/'Interim Revenue Analysis US$'!Q$7, "N/A")</f>
        <v>0</v>
      </c>
      <c r="R83" s="70">
        <f>IFERROR('Interim Revenue Analysis'!R84/'Interim Revenue Analysis US$'!R$7, "N/A")</f>
        <v>0</v>
      </c>
      <c r="S83" s="70">
        <f>IFERROR('Interim Revenue Analysis'!S84/'Interim Revenue Analysis US$'!S$7, "N/A")</f>
        <v>0</v>
      </c>
      <c r="T83" s="70">
        <f>IFERROR('Interim Revenue Analysis'!T84/'Interim Revenue Analysis US$'!T$7, "N/A")</f>
        <v>0</v>
      </c>
      <c r="U83" s="70">
        <f>IFERROR('Interim Revenue Analysis'!U84/'Interim Revenue Analysis US$'!U$7, "N/A")</f>
        <v>0</v>
      </c>
      <c r="V83" s="70">
        <f>IFERROR('Interim Revenue Analysis'!V84/'Interim Revenue Analysis US$'!V$7, "N/A")</f>
        <v>0</v>
      </c>
      <c r="W83" s="70">
        <f>IFERROR('Interim Revenue Analysis'!W84/'Interim Revenue Analysis US$'!W$7, "N/A")</f>
        <v>0</v>
      </c>
      <c r="X83" s="70">
        <f>IFERROR('Interim Revenue Analysis'!X84/'Interim Revenue Analysis US$'!X$7, "N/A")</f>
        <v>0</v>
      </c>
      <c r="Y83" s="70">
        <f>IFERROR('Interim Revenue Analysis'!Y84/'Interim Revenue Analysis US$'!Y$7, "N/A")</f>
        <v>0</v>
      </c>
    </row>
    <row r="84" spans="1:25" x14ac:dyDescent="0.3">
      <c r="A84" s="85" t="s">
        <v>341</v>
      </c>
      <c r="B84" s="70">
        <f>IFERROR('Interim Revenue Analysis'!B85/'Interim Revenue Analysis US$'!B$7, "N/A")</f>
        <v>0</v>
      </c>
      <c r="C84" s="70">
        <f>IFERROR('Interim Revenue Analysis'!C85/'Interim Revenue Analysis US$'!C$7, "N/A")</f>
        <v>0</v>
      </c>
      <c r="D84" s="70">
        <f>IFERROR('Interim Revenue Analysis'!D85/'Interim Revenue Analysis US$'!D$7, "N/A")</f>
        <v>0</v>
      </c>
      <c r="E84" s="70">
        <f>IFERROR('Interim Revenue Analysis'!E85/'Interim Revenue Analysis US$'!E$7, "N/A")</f>
        <v>0</v>
      </c>
      <c r="F84" s="70">
        <f>IFERROR('Interim Revenue Analysis'!F85/'Interim Revenue Analysis US$'!F$7, "N/A")</f>
        <v>0</v>
      </c>
      <c r="G84" s="70">
        <f>IFERROR('Interim Revenue Analysis'!G85/'Interim Revenue Analysis US$'!G$7, "N/A")</f>
        <v>0</v>
      </c>
      <c r="H84" s="70">
        <f>IFERROR('Interim Revenue Analysis'!H85/'Interim Revenue Analysis US$'!H$7, "N/A")</f>
        <v>0</v>
      </c>
      <c r="I84" s="70">
        <f>IFERROR('Interim Revenue Analysis'!I85/'Interim Revenue Analysis US$'!I$7, "N/A")</f>
        <v>0</v>
      </c>
      <c r="J84" s="70">
        <f>IFERROR('Interim Revenue Analysis'!J85/'Interim Revenue Analysis US$'!J$7, "N/A")</f>
        <v>0</v>
      </c>
      <c r="K84" s="70">
        <f>IFERROR('Interim Revenue Analysis'!K85/'Interim Revenue Analysis US$'!K$7, "N/A")</f>
        <v>0</v>
      </c>
      <c r="L84" s="70">
        <f>IFERROR('Interim Revenue Analysis'!L85/'Interim Revenue Analysis US$'!L$7, "N/A")</f>
        <v>0</v>
      </c>
      <c r="M84" s="70">
        <f>IFERROR('Interim Revenue Analysis'!M85/'Interim Revenue Analysis US$'!M$7, "N/A")</f>
        <v>0</v>
      </c>
      <c r="N84" s="70">
        <f>IFERROR('Interim Revenue Analysis'!N85/'Interim Revenue Analysis US$'!N$7, "N/A")</f>
        <v>0</v>
      </c>
      <c r="O84" s="70">
        <f>IFERROR('Interim Revenue Analysis'!O85/'Interim Revenue Analysis US$'!O$7, "N/A")</f>
        <v>0</v>
      </c>
      <c r="P84" s="70">
        <f>IFERROR('Interim Revenue Analysis'!P85/'Interim Revenue Analysis US$'!P$7, "N/A")</f>
        <v>0</v>
      </c>
      <c r="Q84" s="70">
        <f>IFERROR('Interim Revenue Analysis'!Q85/'Interim Revenue Analysis US$'!Q$7, "N/A")</f>
        <v>0</v>
      </c>
      <c r="R84" s="70">
        <f>IFERROR('Interim Revenue Analysis'!R85/'Interim Revenue Analysis US$'!R$7, "N/A")</f>
        <v>0</v>
      </c>
      <c r="S84" s="70">
        <f>IFERROR('Interim Revenue Analysis'!S85/'Interim Revenue Analysis US$'!S$7, "N/A")</f>
        <v>0</v>
      </c>
      <c r="T84" s="70">
        <f>IFERROR('Interim Revenue Analysis'!T85/'Interim Revenue Analysis US$'!T$7, "N/A")</f>
        <v>0</v>
      </c>
      <c r="U84" s="70">
        <f>IFERROR('Interim Revenue Analysis'!U85/'Interim Revenue Analysis US$'!U$7, "N/A")</f>
        <v>0</v>
      </c>
      <c r="V84" s="70">
        <f>IFERROR('Interim Revenue Analysis'!V85/'Interim Revenue Analysis US$'!V$7, "N/A")</f>
        <v>0</v>
      </c>
      <c r="W84" s="70">
        <f>IFERROR('Interim Revenue Analysis'!W85/'Interim Revenue Analysis US$'!W$7, "N/A")</f>
        <v>0</v>
      </c>
      <c r="X84" s="70">
        <f>IFERROR('Interim Revenue Analysis'!X85/'Interim Revenue Analysis US$'!X$7, "N/A")</f>
        <v>0</v>
      </c>
      <c r="Y84" s="70">
        <f>IFERROR('Interim Revenue Analysis'!Y85/'Interim Revenue Analysis US$'!Y$7, "N/A")</f>
        <v>0</v>
      </c>
    </row>
    <row r="85" spans="1:25" x14ac:dyDescent="0.3">
      <c r="A85" s="42" t="s">
        <v>257</v>
      </c>
      <c r="B85" s="53">
        <f>SUM(B80:B84)</f>
        <v>0</v>
      </c>
      <c r="C85" s="53">
        <f t="shared" ref="C85:J85" si="18">SUM(C80:C84)</f>
        <v>0</v>
      </c>
      <c r="D85" s="53">
        <f t="shared" si="18"/>
        <v>0</v>
      </c>
      <c r="E85" s="53">
        <f t="shared" si="18"/>
        <v>0</v>
      </c>
      <c r="F85" s="53">
        <f t="shared" si="18"/>
        <v>0</v>
      </c>
      <c r="G85" s="53">
        <f t="shared" si="18"/>
        <v>0</v>
      </c>
      <c r="H85" s="53">
        <f t="shared" si="18"/>
        <v>0</v>
      </c>
      <c r="I85" s="53">
        <f t="shared" si="18"/>
        <v>0</v>
      </c>
      <c r="J85" s="53">
        <f t="shared" si="18"/>
        <v>0</v>
      </c>
      <c r="K85" s="53">
        <f>SUM(K80:K84)</f>
        <v>0</v>
      </c>
      <c r="L85" s="53">
        <f t="shared" ref="L85:M85" si="19">SUM(L80:L84)</f>
        <v>0</v>
      </c>
      <c r="M85" s="53">
        <f t="shared" si="19"/>
        <v>0</v>
      </c>
      <c r="N85" s="53">
        <f t="shared" ref="N85:Q85" si="20">SUM(N80:N84)</f>
        <v>0</v>
      </c>
      <c r="O85" s="53">
        <f t="shared" si="20"/>
        <v>0</v>
      </c>
      <c r="P85" s="53">
        <f t="shared" si="20"/>
        <v>0</v>
      </c>
      <c r="Q85" s="53">
        <f t="shared" si="20"/>
        <v>0</v>
      </c>
      <c r="R85" s="53">
        <f t="shared" ref="R85:U85" si="21">SUM(R80:R84)</f>
        <v>0</v>
      </c>
      <c r="S85" s="53">
        <f t="shared" si="21"/>
        <v>0</v>
      </c>
      <c r="T85" s="53">
        <f t="shared" si="21"/>
        <v>0</v>
      </c>
      <c r="U85" s="53">
        <f t="shared" si="21"/>
        <v>0</v>
      </c>
      <c r="V85" s="53">
        <f t="shared" ref="V85:Y85" si="22">SUM(V80:V84)</f>
        <v>0</v>
      </c>
      <c r="W85" s="53">
        <f t="shared" si="22"/>
        <v>0</v>
      </c>
      <c r="X85" s="53">
        <f t="shared" si="22"/>
        <v>0</v>
      </c>
      <c r="Y85" s="53">
        <f t="shared" si="22"/>
        <v>0</v>
      </c>
    </row>
    <row r="86" spans="1:25" x14ac:dyDescent="0.3">
      <c r="A86" s="8" t="s">
        <v>259</v>
      </c>
      <c r="B86" s="10"/>
      <c r="C86" s="10"/>
      <c r="D86" s="10"/>
      <c r="E86" s="10"/>
      <c r="F86" s="10"/>
      <c r="G86" s="10"/>
      <c r="H86" s="10"/>
      <c r="I86" s="10"/>
      <c r="J86" s="10"/>
      <c r="K86" s="10"/>
      <c r="L86" s="10"/>
      <c r="M86" s="10"/>
      <c r="N86" s="10"/>
      <c r="O86" s="10"/>
      <c r="P86" s="10"/>
      <c r="Q86" s="10"/>
      <c r="R86" s="10"/>
      <c r="S86" s="10"/>
      <c r="T86" s="10"/>
      <c r="U86" s="10"/>
      <c r="V86" s="10"/>
      <c r="W86" s="10"/>
      <c r="X86" s="10"/>
      <c r="Y86" s="10"/>
    </row>
    <row r="87" spans="1:25" x14ac:dyDescent="0.3">
      <c r="A87" s="85" t="s">
        <v>618</v>
      </c>
      <c r="B87" s="61" t="str">
        <f>IFERROR(B80/B$85,"N/A")</f>
        <v>N/A</v>
      </c>
      <c r="C87" s="61" t="str">
        <f t="shared" ref="C87:J87" si="23">IFERROR(C80/C$85,"N/A")</f>
        <v>N/A</v>
      </c>
      <c r="D87" s="61" t="str">
        <f t="shared" si="23"/>
        <v>N/A</v>
      </c>
      <c r="E87" s="61" t="str">
        <f t="shared" si="23"/>
        <v>N/A</v>
      </c>
      <c r="F87" s="61" t="str">
        <f t="shared" si="23"/>
        <v>N/A</v>
      </c>
      <c r="G87" s="61" t="str">
        <f t="shared" si="23"/>
        <v>N/A</v>
      </c>
      <c r="H87" s="61" t="str">
        <f t="shared" si="23"/>
        <v>N/A</v>
      </c>
      <c r="I87" s="61" t="str">
        <f t="shared" si="23"/>
        <v>N/A</v>
      </c>
      <c r="J87" s="61" t="str">
        <f t="shared" si="23"/>
        <v>N/A</v>
      </c>
      <c r="K87" s="61" t="str">
        <f>IFERROR(K80/K$85,"N/A")</f>
        <v>N/A</v>
      </c>
      <c r="L87" s="61" t="str">
        <f t="shared" ref="L87:M87" si="24">IFERROR(L80/L$85,"N/A")</f>
        <v>N/A</v>
      </c>
      <c r="M87" s="61" t="str">
        <f t="shared" si="24"/>
        <v>N/A</v>
      </c>
      <c r="N87" s="61" t="str">
        <f t="shared" ref="N87:Q87" si="25">IFERROR(N80/N$85,"N/A")</f>
        <v>N/A</v>
      </c>
      <c r="O87" s="61" t="str">
        <f t="shared" si="25"/>
        <v>N/A</v>
      </c>
      <c r="P87" s="61" t="str">
        <f t="shared" si="25"/>
        <v>N/A</v>
      </c>
      <c r="Q87" s="61" t="str">
        <f t="shared" si="25"/>
        <v>N/A</v>
      </c>
      <c r="R87" s="61" t="str">
        <f t="shared" ref="R87:U87" si="26">IFERROR(R80/R$85,"N/A")</f>
        <v>N/A</v>
      </c>
      <c r="S87" s="61" t="str">
        <f t="shared" si="26"/>
        <v>N/A</v>
      </c>
      <c r="T87" s="61" t="str">
        <f t="shared" si="26"/>
        <v>N/A</v>
      </c>
      <c r="U87" s="61" t="str">
        <f t="shared" si="26"/>
        <v>N/A</v>
      </c>
      <c r="V87" s="61" t="str">
        <f t="shared" ref="V87:Y87" si="27">IFERROR(V80/V$85,"N/A")</f>
        <v>N/A</v>
      </c>
      <c r="W87" s="61" t="str">
        <f t="shared" si="27"/>
        <v>N/A</v>
      </c>
      <c r="X87" s="61" t="str">
        <f t="shared" si="27"/>
        <v>N/A</v>
      </c>
      <c r="Y87" s="61" t="str">
        <f t="shared" si="27"/>
        <v>N/A</v>
      </c>
    </row>
    <row r="88" spans="1:25" x14ac:dyDescent="0.3">
      <c r="A88" s="85" t="s">
        <v>618</v>
      </c>
      <c r="B88" s="61" t="str">
        <f t="shared" ref="B88:J91" si="28">IFERROR(B81/B$85,"N/A")</f>
        <v>N/A</v>
      </c>
      <c r="C88" s="61" t="str">
        <f t="shared" si="28"/>
        <v>N/A</v>
      </c>
      <c r="D88" s="61" t="str">
        <f t="shared" si="28"/>
        <v>N/A</v>
      </c>
      <c r="E88" s="61" t="str">
        <f t="shared" si="28"/>
        <v>N/A</v>
      </c>
      <c r="F88" s="61" t="str">
        <f t="shared" si="28"/>
        <v>N/A</v>
      </c>
      <c r="G88" s="61" t="str">
        <f t="shared" si="28"/>
        <v>N/A</v>
      </c>
      <c r="H88" s="61" t="str">
        <f t="shared" si="28"/>
        <v>N/A</v>
      </c>
      <c r="I88" s="61" t="str">
        <f t="shared" si="28"/>
        <v>N/A</v>
      </c>
      <c r="J88" s="61" t="str">
        <f t="shared" si="28"/>
        <v>N/A</v>
      </c>
      <c r="K88" s="61" t="str">
        <f>IFERROR(K81/K$85,"N/A")</f>
        <v>N/A</v>
      </c>
      <c r="L88" s="61" t="str">
        <f t="shared" ref="L88:M88" si="29">IFERROR(L81/L$85,"N/A")</f>
        <v>N/A</v>
      </c>
      <c r="M88" s="61" t="str">
        <f t="shared" si="29"/>
        <v>N/A</v>
      </c>
      <c r="N88" s="61" t="str">
        <f t="shared" ref="N88:Q88" si="30">IFERROR(N81/N$85,"N/A")</f>
        <v>N/A</v>
      </c>
      <c r="O88" s="61" t="str">
        <f t="shared" si="30"/>
        <v>N/A</v>
      </c>
      <c r="P88" s="61" t="str">
        <f t="shared" si="30"/>
        <v>N/A</v>
      </c>
      <c r="Q88" s="61" t="str">
        <f t="shared" si="30"/>
        <v>N/A</v>
      </c>
      <c r="R88" s="61" t="str">
        <f t="shared" ref="R88:U88" si="31">IFERROR(R81/R$85,"N/A")</f>
        <v>N/A</v>
      </c>
      <c r="S88" s="61" t="str">
        <f t="shared" si="31"/>
        <v>N/A</v>
      </c>
      <c r="T88" s="61" t="str">
        <f t="shared" si="31"/>
        <v>N/A</v>
      </c>
      <c r="U88" s="61" t="str">
        <f t="shared" si="31"/>
        <v>N/A</v>
      </c>
      <c r="V88" s="61" t="str">
        <f t="shared" ref="V88:Y88" si="32">IFERROR(V81/V$85,"N/A")</f>
        <v>N/A</v>
      </c>
      <c r="W88" s="61" t="str">
        <f t="shared" si="32"/>
        <v>N/A</v>
      </c>
      <c r="X88" s="61" t="str">
        <f t="shared" si="32"/>
        <v>N/A</v>
      </c>
      <c r="Y88" s="61" t="str">
        <f t="shared" si="32"/>
        <v>N/A</v>
      </c>
    </row>
    <row r="89" spans="1:25" x14ac:dyDescent="0.3">
      <c r="A89" s="85" t="s">
        <v>618</v>
      </c>
      <c r="B89" s="61" t="str">
        <f t="shared" si="28"/>
        <v>N/A</v>
      </c>
      <c r="C89" s="61" t="str">
        <f t="shared" si="28"/>
        <v>N/A</v>
      </c>
      <c r="D89" s="61" t="str">
        <f t="shared" si="28"/>
        <v>N/A</v>
      </c>
      <c r="E89" s="61" t="str">
        <f t="shared" si="28"/>
        <v>N/A</v>
      </c>
      <c r="F89" s="61" t="str">
        <f t="shared" si="28"/>
        <v>N/A</v>
      </c>
      <c r="G89" s="61" t="str">
        <f t="shared" si="28"/>
        <v>N/A</v>
      </c>
      <c r="H89" s="61" t="str">
        <f t="shared" si="28"/>
        <v>N/A</v>
      </c>
      <c r="I89" s="61" t="str">
        <f t="shared" si="28"/>
        <v>N/A</v>
      </c>
      <c r="J89" s="61" t="str">
        <f t="shared" si="28"/>
        <v>N/A</v>
      </c>
      <c r="K89" s="61" t="str">
        <f>IFERROR(K82/K$85,"N/A")</f>
        <v>N/A</v>
      </c>
      <c r="L89" s="61" t="str">
        <f t="shared" ref="L89:M89" si="33">IFERROR(L82/L$85,"N/A")</f>
        <v>N/A</v>
      </c>
      <c r="M89" s="61" t="str">
        <f t="shared" si="33"/>
        <v>N/A</v>
      </c>
      <c r="N89" s="61" t="str">
        <f t="shared" ref="N89:Q89" si="34">IFERROR(N82/N$85,"N/A")</f>
        <v>N/A</v>
      </c>
      <c r="O89" s="61" t="str">
        <f t="shared" si="34"/>
        <v>N/A</v>
      </c>
      <c r="P89" s="61" t="str">
        <f t="shared" si="34"/>
        <v>N/A</v>
      </c>
      <c r="Q89" s="61" t="str">
        <f t="shared" si="34"/>
        <v>N/A</v>
      </c>
      <c r="R89" s="61" t="str">
        <f t="shared" ref="R89:U89" si="35">IFERROR(R82/R$85,"N/A")</f>
        <v>N/A</v>
      </c>
      <c r="S89" s="61" t="str">
        <f t="shared" si="35"/>
        <v>N/A</v>
      </c>
      <c r="T89" s="61" t="str">
        <f t="shared" si="35"/>
        <v>N/A</v>
      </c>
      <c r="U89" s="61" t="str">
        <f t="shared" si="35"/>
        <v>N/A</v>
      </c>
      <c r="V89" s="61" t="str">
        <f t="shared" ref="V89:Y89" si="36">IFERROR(V82/V$85,"N/A")</f>
        <v>N/A</v>
      </c>
      <c r="W89" s="61" t="str">
        <f t="shared" si="36"/>
        <v>N/A</v>
      </c>
      <c r="X89" s="61" t="str">
        <f t="shared" si="36"/>
        <v>N/A</v>
      </c>
      <c r="Y89" s="61" t="str">
        <f t="shared" si="36"/>
        <v>N/A</v>
      </c>
    </row>
    <row r="90" spans="1:25" x14ac:dyDescent="0.3">
      <c r="A90" s="85" t="s">
        <v>618</v>
      </c>
      <c r="B90" s="61" t="str">
        <f t="shared" si="28"/>
        <v>N/A</v>
      </c>
      <c r="C90" s="61" t="str">
        <f t="shared" si="28"/>
        <v>N/A</v>
      </c>
      <c r="D90" s="61" t="str">
        <f t="shared" si="28"/>
        <v>N/A</v>
      </c>
      <c r="E90" s="61" t="str">
        <f t="shared" si="28"/>
        <v>N/A</v>
      </c>
      <c r="F90" s="61" t="str">
        <f t="shared" si="28"/>
        <v>N/A</v>
      </c>
      <c r="G90" s="61" t="str">
        <f t="shared" si="28"/>
        <v>N/A</v>
      </c>
      <c r="H90" s="61" t="str">
        <f t="shared" si="28"/>
        <v>N/A</v>
      </c>
      <c r="I90" s="61" t="str">
        <f t="shared" si="28"/>
        <v>N/A</v>
      </c>
      <c r="J90" s="61" t="str">
        <f t="shared" si="28"/>
        <v>N/A</v>
      </c>
      <c r="K90" s="61" t="str">
        <f>IFERROR(K83/K$85,"N/A")</f>
        <v>N/A</v>
      </c>
      <c r="L90" s="61" t="str">
        <f t="shared" ref="L90:M90" si="37">IFERROR(L83/L$85,"N/A")</f>
        <v>N/A</v>
      </c>
      <c r="M90" s="61" t="str">
        <f t="shared" si="37"/>
        <v>N/A</v>
      </c>
      <c r="N90" s="61" t="str">
        <f t="shared" ref="N90:Q90" si="38">IFERROR(N83/N$85,"N/A")</f>
        <v>N/A</v>
      </c>
      <c r="O90" s="61" t="str">
        <f t="shared" si="38"/>
        <v>N/A</v>
      </c>
      <c r="P90" s="61" t="str">
        <f t="shared" si="38"/>
        <v>N/A</v>
      </c>
      <c r="Q90" s="61" t="str">
        <f t="shared" si="38"/>
        <v>N/A</v>
      </c>
      <c r="R90" s="61" t="str">
        <f t="shared" ref="R90:U90" si="39">IFERROR(R83/R$85,"N/A")</f>
        <v>N/A</v>
      </c>
      <c r="S90" s="61" t="str">
        <f t="shared" si="39"/>
        <v>N/A</v>
      </c>
      <c r="T90" s="61" t="str">
        <f t="shared" si="39"/>
        <v>N/A</v>
      </c>
      <c r="U90" s="61" t="str">
        <f t="shared" si="39"/>
        <v>N/A</v>
      </c>
      <c r="V90" s="61" t="str">
        <f t="shared" ref="V90:Y90" si="40">IFERROR(V83/V$85,"N/A")</f>
        <v>N/A</v>
      </c>
      <c r="W90" s="61" t="str">
        <f t="shared" si="40"/>
        <v>N/A</v>
      </c>
      <c r="X90" s="61" t="str">
        <f t="shared" si="40"/>
        <v>N/A</v>
      </c>
      <c r="Y90" s="61" t="str">
        <f t="shared" si="40"/>
        <v>N/A</v>
      </c>
    </row>
    <row r="91" spans="1:25" x14ac:dyDescent="0.3">
      <c r="A91" s="85" t="s">
        <v>341</v>
      </c>
      <c r="B91" s="61" t="str">
        <f t="shared" si="28"/>
        <v>N/A</v>
      </c>
      <c r="C91" s="61" t="str">
        <f t="shared" si="28"/>
        <v>N/A</v>
      </c>
      <c r="D91" s="61" t="str">
        <f t="shared" si="28"/>
        <v>N/A</v>
      </c>
      <c r="E91" s="61" t="str">
        <f t="shared" si="28"/>
        <v>N/A</v>
      </c>
      <c r="F91" s="61" t="str">
        <f t="shared" si="28"/>
        <v>N/A</v>
      </c>
      <c r="G91" s="61" t="str">
        <f t="shared" si="28"/>
        <v>N/A</v>
      </c>
      <c r="H91" s="61" t="str">
        <f t="shared" si="28"/>
        <v>N/A</v>
      </c>
      <c r="I91" s="61" t="str">
        <f t="shared" si="28"/>
        <v>N/A</v>
      </c>
      <c r="J91" s="61" t="str">
        <f t="shared" si="28"/>
        <v>N/A</v>
      </c>
      <c r="K91" s="61" t="str">
        <f>IFERROR(K84/K$85,"N/A")</f>
        <v>N/A</v>
      </c>
      <c r="L91" s="61" t="str">
        <f t="shared" ref="L91:M91" si="41">IFERROR(L84/L$85,"N/A")</f>
        <v>N/A</v>
      </c>
      <c r="M91" s="61" t="str">
        <f t="shared" si="41"/>
        <v>N/A</v>
      </c>
      <c r="N91" s="61" t="str">
        <f t="shared" ref="N91:Q91" si="42">IFERROR(N84/N$85,"N/A")</f>
        <v>N/A</v>
      </c>
      <c r="O91" s="61" t="str">
        <f t="shared" si="42"/>
        <v>N/A</v>
      </c>
      <c r="P91" s="61" t="str">
        <f t="shared" si="42"/>
        <v>N/A</v>
      </c>
      <c r="Q91" s="61" t="str">
        <f t="shared" si="42"/>
        <v>N/A</v>
      </c>
      <c r="R91" s="61" t="str">
        <f t="shared" ref="R91:U91" si="43">IFERROR(R84/R$85,"N/A")</f>
        <v>N/A</v>
      </c>
      <c r="S91" s="61" t="str">
        <f t="shared" si="43"/>
        <v>N/A</v>
      </c>
      <c r="T91" s="61" t="str">
        <f t="shared" si="43"/>
        <v>N/A</v>
      </c>
      <c r="U91" s="61" t="str">
        <f t="shared" si="43"/>
        <v>N/A</v>
      </c>
      <c r="V91" s="61" t="str">
        <f t="shared" ref="V91:Y91" si="44">IFERROR(V84/V$85,"N/A")</f>
        <v>N/A</v>
      </c>
      <c r="W91" s="61" t="str">
        <f t="shared" si="44"/>
        <v>N/A</v>
      </c>
      <c r="X91" s="61" t="str">
        <f t="shared" si="44"/>
        <v>N/A</v>
      </c>
      <c r="Y91" s="61" t="str">
        <f t="shared" si="44"/>
        <v>N/A</v>
      </c>
    </row>
    <row r="92" spans="1:25" x14ac:dyDescent="0.3">
      <c r="A92" s="85" t="s">
        <v>304</v>
      </c>
      <c r="B92" s="238">
        <f>SUM(B87:B91)</f>
        <v>0</v>
      </c>
      <c r="C92" s="238">
        <f t="shared" ref="C92:J92" si="45">SUM(C87:C91)</f>
        <v>0</v>
      </c>
      <c r="D92" s="238">
        <f t="shared" si="45"/>
        <v>0</v>
      </c>
      <c r="E92" s="238">
        <f t="shared" si="45"/>
        <v>0</v>
      </c>
      <c r="F92" s="238">
        <f t="shared" si="45"/>
        <v>0</v>
      </c>
      <c r="G92" s="238">
        <f t="shared" si="45"/>
        <v>0</v>
      </c>
      <c r="H92" s="238">
        <f t="shared" si="45"/>
        <v>0</v>
      </c>
      <c r="I92" s="238">
        <f t="shared" si="45"/>
        <v>0</v>
      </c>
      <c r="J92" s="238">
        <f t="shared" si="45"/>
        <v>0</v>
      </c>
      <c r="K92" s="238">
        <f>SUM(K87:K91)</f>
        <v>0</v>
      </c>
      <c r="L92" s="238">
        <f t="shared" ref="L92:M92" si="46">SUM(L87:L91)</f>
        <v>0</v>
      </c>
      <c r="M92" s="238">
        <f t="shared" si="46"/>
        <v>0</v>
      </c>
      <c r="N92" s="238">
        <f t="shared" ref="N92:Q92" si="47">SUM(N87:N91)</f>
        <v>0</v>
      </c>
      <c r="O92" s="238">
        <f t="shared" si="47"/>
        <v>0</v>
      </c>
      <c r="P92" s="238">
        <f t="shared" si="47"/>
        <v>0</v>
      </c>
      <c r="Q92" s="238">
        <f t="shared" si="47"/>
        <v>0</v>
      </c>
      <c r="R92" s="238">
        <f t="shared" ref="R92:U92" si="48">SUM(R87:R91)</f>
        <v>0</v>
      </c>
      <c r="S92" s="238">
        <f t="shared" si="48"/>
        <v>0</v>
      </c>
      <c r="T92" s="238">
        <f t="shared" si="48"/>
        <v>0</v>
      </c>
      <c r="U92" s="238">
        <f t="shared" si="48"/>
        <v>0</v>
      </c>
      <c r="V92" s="238">
        <f t="shared" ref="V92:Y92" si="49">SUM(V87:V91)</f>
        <v>0</v>
      </c>
      <c r="W92" s="238">
        <f t="shared" si="49"/>
        <v>0</v>
      </c>
      <c r="X92" s="238">
        <f t="shared" si="49"/>
        <v>0</v>
      </c>
      <c r="Y92" s="238">
        <f t="shared" si="49"/>
        <v>0</v>
      </c>
    </row>
    <row r="93" spans="1:25" x14ac:dyDescent="0.3">
      <c r="B93" s="218"/>
      <c r="C93" s="218"/>
      <c r="D93" s="218"/>
      <c r="E93" s="218"/>
      <c r="F93" s="218"/>
      <c r="G93" s="218"/>
    </row>
  </sheetData>
  <mergeCells count="2">
    <mergeCell ref="A1:Q1"/>
    <mergeCell ref="U1:Y1"/>
  </mergeCells>
  <pageMargins left="0.70866141732283472" right="0.70866141732283472" top="0.74803149606299213" bottom="0.74803149606299213" header="0.31496062992125984" footer="0.31496062992125984"/>
  <pageSetup paperSize="9" scale="77" orientation="portrait" r:id="rId1"/>
  <headerFooter alignWithMargins="0"/>
  <rowBreaks count="1" manualBreakCount="1">
    <brk id="55" max="7" man="1"/>
  </rowBreaks>
  <ignoredErrors>
    <ignoredError sqref="F21:J21 F40:J40 F53:J53 F56:J56 F67:J67 F78:J92 F27:J27"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3514266FBDAC4DA9D82821EFCA0B96" ma:contentTypeVersion="15" ma:contentTypeDescription="Create a new document." ma:contentTypeScope="" ma:versionID="d0ad570e408b91aa6c8991d79192c982">
  <xsd:schema xmlns:xsd="http://www.w3.org/2001/XMLSchema" xmlns:xs="http://www.w3.org/2001/XMLSchema" xmlns:p="http://schemas.microsoft.com/office/2006/metadata/properties" xmlns:ns1="http://schemas.microsoft.com/sharepoint/v3" xmlns:ns2="5a26b0cb-682e-4b14-8841-1ef0013369e7" xmlns:ns3="f01f23fe-0415-485d-aa49-0b2c40759973" targetNamespace="http://schemas.microsoft.com/office/2006/metadata/properties" ma:root="true" ma:fieldsID="51052efdd11aa953006ff33e3422ce91" ns1:_="" ns2:_="" ns3:_="">
    <xsd:import namespace="http://schemas.microsoft.com/sharepoint/v3"/>
    <xsd:import namespace="5a26b0cb-682e-4b14-8841-1ef0013369e7"/>
    <xsd:import namespace="f01f23fe-0415-485d-aa49-0b2c4075997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26b0cb-682e-4b14-8841-1ef0013369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01f23fe-0415-485d-aa49-0b2c4075997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9EE75F6A-0AA4-481D-AD60-9CD1E28A35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a26b0cb-682e-4b14-8841-1ef0013369e7"/>
    <ds:schemaRef ds:uri="f01f23fe-0415-485d-aa49-0b2c407599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A6ECDA-99C1-49C6-B7E0-980A26643DF3}">
  <ds:schemaRefs>
    <ds:schemaRef ds:uri="http://schemas.microsoft.com/sharepoint/v3/contenttype/forms"/>
  </ds:schemaRefs>
</ds:datastoreItem>
</file>

<file path=customXml/itemProps3.xml><?xml version="1.0" encoding="utf-8"?>
<ds:datastoreItem xmlns:ds="http://schemas.openxmlformats.org/officeDocument/2006/customXml" ds:itemID="{C58BF5B1-EFCF-4C56-84DF-26C7799230A1}">
  <ds:schemaRefs>
    <ds:schemaRef ds:uri="5a26b0cb-682e-4b14-8841-1ef0013369e7"/>
    <ds:schemaRef ds:uri="f01f23fe-0415-485d-aa49-0b2c40759973"/>
    <ds:schemaRef ds:uri="http://schemas.microsoft.com/office/2006/metadata/properties"/>
    <ds:schemaRef ds:uri="http://purl.org/dc/terms/"/>
    <ds:schemaRef ds:uri="http://schemas.openxmlformats.org/package/2006/metadata/core-properties"/>
    <ds:schemaRef ds:uri="http://schemas.microsoft.com/sharepoint/v3"/>
    <ds:schemaRef ds:uri="http://purl.org/dc/dcmitype/"/>
    <ds:schemaRef ds:uri="http://schemas.microsoft.com/office/2006/documentManagement/types"/>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30</vt:i4>
      </vt:variant>
      <vt:variant>
        <vt:lpstr>Named Ranges</vt:lpstr>
      </vt:variant>
      <vt:variant>
        <vt:i4>50</vt:i4>
      </vt:variant>
    </vt:vector>
  </HeadingPairs>
  <TitlesOfParts>
    <vt:vector size="80" baseType="lpstr">
      <vt:lpstr>Cover Sheet</vt:lpstr>
      <vt:lpstr>Inputs</vt:lpstr>
      <vt:lpstr>Operational Analysis &gt;&gt;</vt:lpstr>
      <vt:lpstr>Annual Operational Data</vt:lpstr>
      <vt:lpstr>Interim Operational Data</vt:lpstr>
      <vt:lpstr>Revenue Analysis Reported</vt:lpstr>
      <vt:lpstr>Revenue Analysis US$</vt:lpstr>
      <vt:lpstr>Interim Revenue Analysis</vt:lpstr>
      <vt:lpstr>Interim Revenue Analysis US$</vt:lpstr>
      <vt:lpstr>Cost Analysis Reported</vt:lpstr>
      <vt:lpstr>Cost Analysis US$</vt:lpstr>
      <vt:lpstr>Interim Cost Analysis Reported</vt:lpstr>
      <vt:lpstr>Interim Cost Analysis US$</vt:lpstr>
      <vt:lpstr>Credit Paper Workings</vt:lpstr>
      <vt:lpstr>Financial Statements &gt;&gt;</vt:lpstr>
      <vt:lpstr>Income Statement &gt;</vt:lpstr>
      <vt:lpstr>Annual Inc Statement Reported</vt:lpstr>
      <vt:lpstr>Annual Income Statement US$</vt:lpstr>
      <vt:lpstr>Interim Inc Statement Reported</vt:lpstr>
      <vt:lpstr>Interim Inc Statement US$</vt:lpstr>
      <vt:lpstr>Balance Sheet &gt; </vt:lpstr>
      <vt:lpstr>Balance Sheet Reported</vt:lpstr>
      <vt:lpstr>Balance Sheet US$</vt:lpstr>
      <vt:lpstr>Interim Balance Sheet Reported</vt:lpstr>
      <vt:lpstr>Interim Balance Sheet US$</vt:lpstr>
      <vt:lpstr>Cash Flow &gt;</vt:lpstr>
      <vt:lpstr>Annual Cash Flow Reported</vt:lpstr>
      <vt:lpstr>Annual Cash Flow US$</vt:lpstr>
      <vt:lpstr>Interim Cash Flow Reported</vt:lpstr>
      <vt:lpstr>Interim Cash Flow US$</vt:lpstr>
      <vt:lpstr>'Annual Cash Flow Reported'!Print_Area</vt:lpstr>
      <vt:lpstr>'Annual Cash Flow US$'!Print_Area</vt:lpstr>
      <vt:lpstr>'Annual Inc Statement Reported'!Print_Area</vt:lpstr>
      <vt:lpstr>'Annual Income Statement US$'!Print_Area</vt:lpstr>
      <vt:lpstr>'Annual Operational Data'!Print_Area</vt:lpstr>
      <vt:lpstr>'Balance Sheet &gt; '!Print_Area</vt:lpstr>
      <vt:lpstr>'Balance Sheet Reported'!Print_Area</vt:lpstr>
      <vt:lpstr>'Balance Sheet US$'!Print_Area</vt:lpstr>
      <vt:lpstr>'Cash Flow &gt;'!Print_Area</vt:lpstr>
      <vt:lpstr>'Cost Analysis Reported'!Print_Area</vt:lpstr>
      <vt:lpstr>'Cost Analysis US$'!Print_Area</vt:lpstr>
      <vt:lpstr>'Cover Sheet'!Print_Area</vt:lpstr>
      <vt:lpstr>'Financial Statements &gt;&gt;'!Print_Area</vt:lpstr>
      <vt:lpstr>'Income Statement &gt;'!Print_Area</vt:lpstr>
      <vt:lpstr>'Interim Balance Sheet Reported'!Print_Area</vt:lpstr>
      <vt:lpstr>'Interim Balance Sheet US$'!Print_Area</vt:lpstr>
      <vt:lpstr>'Interim Cash Flow Reported'!Print_Area</vt:lpstr>
      <vt:lpstr>'Interim Cash Flow US$'!Print_Area</vt:lpstr>
      <vt:lpstr>'Interim Cost Analysis Reported'!Print_Area</vt:lpstr>
      <vt:lpstr>'Interim Cost Analysis US$'!Print_Area</vt:lpstr>
      <vt:lpstr>'Interim Inc Statement Reported'!Print_Area</vt:lpstr>
      <vt:lpstr>'Interim Inc Statement US$'!Print_Area</vt:lpstr>
      <vt:lpstr>'Interim Operational Data'!Print_Area</vt:lpstr>
      <vt:lpstr>'Interim Revenue Analysis'!Print_Area</vt:lpstr>
      <vt:lpstr>'Interim Revenue Analysis US$'!Print_Area</vt:lpstr>
      <vt:lpstr>'Operational Analysis &gt;&gt;'!Print_Area</vt:lpstr>
      <vt:lpstr>'Revenue Analysis Reported'!Print_Area</vt:lpstr>
      <vt:lpstr>'Revenue Analysis US$'!Print_Area</vt:lpstr>
      <vt:lpstr>'Annual Cash Flow Reported'!Print_Titles</vt:lpstr>
      <vt:lpstr>'Annual Cash Flow US$'!Print_Titles</vt:lpstr>
      <vt:lpstr>'Annual Inc Statement Reported'!Print_Titles</vt:lpstr>
      <vt:lpstr>'Annual Income Statement US$'!Print_Titles</vt:lpstr>
      <vt:lpstr>'Annual Operational Data'!Print_Titles</vt:lpstr>
      <vt:lpstr>'Balance Sheet Reported'!Print_Titles</vt:lpstr>
      <vt:lpstr>'Balance Sheet US$'!Print_Titles</vt:lpstr>
      <vt:lpstr>'Cost Analysis Reported'!Print_Titles</vt:lpstr>
      <vt:lpstr>'Cost Analysis US$'!Print_Titles</vt:lpstr>
      <vt:lpstr>'Interim Balance Sheet Reported'!Print_Titles</vt:lpstr>
      <vt:lpstr>'Interim Balance Sheet US$'!Print_Titles</vt:lpstr>
      <vt:lpstr>'Interim Cash Flow Reported'!Print_Titles</vt:lpstr>
      <vt:lpstr>'Interim Cash Flow US$'!Print_Titles</vt:lpstr>
      <vt:lpstr>'Interim Cost Analysis Reported'!Print_Titles</vt:lpstr>
      <vt:lpstr>'Interim Cost Analysis US$'!Print_Titles</vt:lpstr>
      <vt:lpstr>'Interim Inc Statement Reported'!Print_Titles</vt:lpstr>
      <vt:lpstr>'Interim Inc Statement US$'!Print_Titles</vt:lpstr>
      <vt:lpstr>'Interim Operational Data'!Print_Titles</vt:lpstr>
      <vt:lpstr>'Interim Revenue Analysis'!Print_Titles</vt:lpstr>
      <vt:lpstr>'Interim Revenue Analysis US$'!Print_Titles</vt:lpstr>
      <vt:lpstr>'Revenue Analysis Reported'!Print_Titles</vt:lpstr>
      <vt:lpstr>'Revenue Analysis US$'!Print_Titles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Ronan Murphy</dc:creator>
  <cp:lastModifiedBy>Nhan Duong</cp:lastModifiedBy>
  <cp:lastPrinted>2017-05-15T11:08:13Z</cp:lastPrinted>
  <dcterms:created xsi:type="dcterms:W3CDTF">2017-02-06T15:48:51Z</dcterms:created>
  <dcterms:modified xsi:type="dcterms:W3CDTF">2021-12-22T15:13:04Z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0x0101006D3514266FBDAC4DA9D82821EFCA0B96</vt:lpwstr>
  </property>
  <property fmtid="{D5CDD505-2E9C-101B-9397-08002B2CF9AE}" pid="3" name="Order">
    <vt:r8>100</vt:r8>
  </property>
</Properties>
</file>